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g"/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87064A22-D1F9-4687-9FF7-2A9F7FAB6A1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OGRESS FISIK" sheetId="1" r:id="rId1"/>
    <sheet name="E-MONEV" sheetId="2" r:id="rId2"/>
  </sheets>
  <definedNames>
    <definedName name="_xlnm.Print_Area" localSheetId="0">'PROGRESS FISIK'!$A$1:$AB$116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60" i="2" l="1"/>
  <c r="BK60" i="2"/>
  <c r="BJ60" i="2"/>
  <c r="BM60" i="2" s="1"/>
  <c r="BH57" i="2"/>
  <c r="C40" i="2"/>
  <c r="C34" i="2"/>
  <c r="C31" i="2"/>
  <c r="C28" i="2"/>
  <c r="D24" i="2"/>
  <c r="BI23" i="2"/>
  <c r="BD23" i="2"/>
  <c r="AX23" i="2"/>
  <c r="BU23" i="2" s="1"/>
  <c r="AT23" i="2"/>
  <c r="AO23" i="2"/>
  <c r="AJ23" i="2"/>
  <c r="AE23" i="2"/>
  <c r="Z23" i="2"/>
  <c r="U23" i="2"/>
  <c r="P23" i="2"/>
  <c r="K23" i="2"/>
  <c r="F23" i="2"/>
  <c r="BU22" i="2"/>
  <c r="BU30" i="2" s="1"/>
  <c r="BH22" i="2"/>
  <c r="BH14" i="2" s="1"/>
  <c r="BI14" i="2" s="1"/>
  <c r="BD22" i="2"/>
  <c r="BC22" i="2"/>
  <c r="AX22" i="2"/>
  <c r="AY22" i="2" s="1"/>
  <c r="AT22" i="2"/>
  <c r="AO22" i="2"/>
  <c r="AJ22" i="2"/>
  <c r="AD22" i="2"/>
  <c r="AE22" i="2" s="1"/>
  <c r="Y22" i="2"/>
  <c r="Z22" i="2" s="1"/>
  <c r="U22" i="2"/>
  <c r="P22" i="2"/>
  <c r="O22" i="2"/>
  <c r="J22" i="2"/>
  <c r="J14" i="2" s="1"/>
  <c r="F22" i="2"/>
  <c r="BI21" i="2"/>
  <c r="BD21" i="2"/>
  <c r="AX21" i="2"/>
  <c r="AS21" i="2"/>
  <c r="AO21" i="2"/>
  <c r="AJ21" i="2"/>
  <c r="AE21" i="2"/>
  <c r="Z21" i="2"/>
  <c r="U21" i="2"/>
  <c r="P21" i="2"/>
  <c r="K21" i="2"/>
  <c r="F21" i="2"/>
  <c r="BU20" i="2"/>
  <c r="BI20" i="2"/>
  <c r="BD20" i="2"/>
  <c r="AX20" i="2"/>
  <c r="AY20" i="2" s="1"/>
  <c r="AT20" i="2"/>
  <c r="AS20" i="2"/>
  <c r="AO20" i="2"/>
  <c r="AN20" i="2"/>
  <c r="AI20" i="2"/>
  <c r="AD20" i="2"/>
  <c r="BM20" i="2" s="1"/>
  <c r="BN20" i="2" s="1"/>
  <c r="Z20" i="2"/>
  <c r="U20" i="2"/>
  <c r="P20" i="2"/>
  <c r="K20" i="2"/>
  <c r="F20" i="2"/>
  <c r="BU19" i="2"/>
  <c r="BT19" i="2"/>
  <c r="BN19" i="2"/>
  <c r="BM19" i="2"/>
  <c r="BI19" i="2"/>
  <c r="BD19" i="2"/>
  <c r="AY19" i="2"/>
  <c r="AX19" i="2"/>
  <c r="AT19" i="2"/>
  <c r="AO19" i="2"/>
  <c r="AJ19" i="2"/>
  <c r="AE19" i="2"/>
  <c r="Z19" i="2"/>
  <c r="U19" i="2"/>
  <c r="P19" i="2"/>
  <c r="K19" i="2"/>
  <c r="F19" i="2"/>
  <c r="BM18" i="2"/>
  <c r="BT18" i="2" s="1"/>
  <c r="BI18" i="2"/>
  <c r="BH18" i="2"/>
  <c r="BU18" i="2" s="1"/>
  <c r="BD18" i="2"/>
  <c r="AY18" i="2"/>
  <c r="AT18" i="2"/>
  <c r="AO18" i="2"/>
  <c r="AJ18" i="2"/>
  <c r="AE18" i="2"/>
  <c r="Z18" i="2"/>
  <c r="U18" i="2"/>
  <c r="P18" i="2"/>
  <c r="K18" i="2"/>
  <c r="F18" i="2"/>
  <c r="BH17" i="2"/>
  <c r="BJ31" i="2" s="1"/>
  <c r="BD17" i="2"/>
  <c r="BC17" i="2"/>
  <c r="AX17" i="2"/>
  <c r="AT17" i="2"/>
  <c r="AS17" i="2"/>
  <c r="AO17" i="2"/>
  <c r="AJ17" i="2"/>
  <c r="AE17" i="2"/>
  <c r="Z17" i="2"/>
  <c r="U17" i="2"/>
  <c r="P17" i="2"/>
  <c r="K17" i="2"/>
  <c r="F17" i="2"/>
  <c r="BI16" i="2"/>
  <c r="BH16" i="2"/>
  <c r="BU16" i="2" s="1"/>
  <c r="BD16" i="2"/>
  <c r="BC16" i="2"/>
  <c r="AY16" i="2"/>
  <c r="AT16" i="2"/>
  <c r="AO16" i="2"/>
  <c r="AJ16" i="2"/>
  <c r="AE16" i="2"/>
  <c r="Z16" i="2"/>
  <c r="U16" i="2"/>
  <c r="P16" i="2"/>
  <c r="O16" i="2"/>
  <c r="O15" i="2" s="1"/>
  <c r="P15" i="2" s="1"/>
  <c r="K16" i="2"/>
  <c r="F16" i="2"/>
  <c r="BC15" i="2"/>
  <c r="BD15" i="2" s="1"/>
  <c r="AS15" i="2"/>
  <c r="AT15" i="2" s="1"/>
  <c r="AO15" i="2"/>
  <c r="AN15" i="2"/>
  <c r="AI15" i="2"/>
  <c r="AJ15" i="2" s="1"/>
  <c r="AE15" i="2"/>
  <c r="AD15" i="2"/>
  <c r="Y15" i="2"/>
  <c r="Z15" i="2" s="1"/>
  <c r="T15" i="2"/>
  <c r="U15" i="2" s="1"/>
  <c r="K15" i="2"/>
  <c r="J15" i="2"/>
  <c r="F15" i="2"/>
  <c r="E15" i="2"/>
  <c r="D15" i="2"/>
  <c r="C15" i="2"/>
  <c r="BC14" i="2"/>
  <c r="BD14" i="2" s="1"/>
  <c r="AS14" i="2"/>
  <c r="AT14" i="2" s="1"/>
  <c r="AO14" i="2"/>
  <c r="AN14" i="2"/>
  <c r="Y14" i="2"/>
  <c r="U14" i="2"/>
  <c r="T14" i="2"/>
  <c r="P14" i="2"/>
  <c r="O14" i="2"/>
  <c r="E14" i="2"/>
  <c r="F14" i="2" s="1"/>
  <c r="D14" i="2"/>
  <c r="C14" i="2"/>
  <c r="Z14" i="2" s="1"/>
  <c r="BP13" i="2"/>
  <c r="BQ13" i="2" s="1"/>
  <c r="BO13" i="2"/>
  <c r="BL13" i="2"/>
  <c r="BH13" i="2"/>
  <c r="BU13" i="2" s="1"/>
  <c r="BG13" i="2"/>
  <c r="BD13" i="2"/>
  <c r="BB13" i="2"/>
  <c r="AY13" i="2"/>
  <c r="AW13" i="2"/>
  <c r="AT13" i="2"/>
  <c r="AR13" i="2"/>
  <c r="AO13" i="2"/>
  <c r="AM13" i="2"/>
  <c r="AJ13" i="2"/>
  <c r="AH13" i="2"/>
  <c r="AE13" i="2"/>
  <c r="AC13" i="2"/>
  <c r="Z13" i="2"/>
  <c r="X13" i="2"/>
  <c r="U13" i="2"/>
  <c r="S13" i="2"/>
  <c r="P13" i="2"/>
  <c r="N13" i="2"/>
  <c r="K13" i="2"/>
  <c r="I13" i="2"/>
  <c r="F13" i="2"/>
  <c r="BU12" i="2"/>
  <c r="BI12" i="2"/>
  <c r="BD12" i="2"/>
  <c r="AY12" i="2"/>
  <c r="AS12" i="2"/>
  <c r="AN1" i="2" s="1"/>
  <c r="AO12" i="2"/>
  <c r="AJ12" i="2"/>
  <c r="AE12" i="2"/>
  <c r="Z12" i="2"/>
  <c r="T12" i="2"/>
  <c r="P12" i="2"/>
  <c r="K12" i="2"/>
  <c r="F12" i="2"/>
  <c r="BU11" i="2"/>
  <c r="BH11" i="2"/>
  <c r="BI11" i="2" s="1"/>
  <c r="BC11" i="2"/>
  <c r="BC9" i="2" s="1"/>
  <c r="AX11" i="2"/>
  <c r="AY11" i="2" s="1"/>
  <c r="AT11" i="2"/>
  <c r="AS11" i="2"/>
  <c r="AO11" i="2"/>
  <c r="AN11" i="2"/>
  <c r="AI11" i="2"/>
  <c r="AJ11" i="2" s="1"/>
  <c r="AE11" i="2"/>
  <c r="AD11" i="2"/>
  <c r="AD9" i="2" s="1"/>
  <c r="AE9" i="2" s="1"/>
  <c r="Z11" i="2"/>
  <c r="U11" i="2"/>
  <c r="T11" i="2"/>
  <c r="P11" i="2"/>
  <c r="O11" i="2"/>
  <c r="K11" i="2"/>
  <c r="F11" i="2"/>
  <c r="BU10" i="2"/>
  <c r="BU14" i="2" s="1"/>
  <c r="BI10" i="2"/>
  <c r="BH10" i="2"/>
  <c r="BC10" i="2"/>
  <c r="BD10" i="2" s="1"/>
  <c r="AX10" i="2"/>
  <c r="AX35" i="2" s="1"/>
  <c r="AT10" i="2"/>
  <c r="AS10" i="2"/>
  <c r="AN10" i="2"/>
  <c r="AO10" i="2" s="1"/>
  <c r="AJ10" i="2"/>
  <c r="AI10" i="2"/>
  <c r="AI9" i="2" s="1"/>
  <c r="AD10" i="2"/>
  <c r="AE10" i="2" s="1"/>
  <c r="Z10" i="2"/>
  <c r="U10" i="2"/>
  <c r="O10" i="2"/>
  <c r="P10" i="2" s="1"/>
  <c r="K10" i="2"/>
  <c r="F10" i="2"/>
  <c r="BH9" i="2"/>
  <c r="BI9" i="2" s="1"/>
  <c r="AJ9" i="2"/>
  <c r="Y9" i="2"/>
  <c r="Y7" i="2" s="1"/>
  <c r="Z7" i="2" s="1"/>
  <c r="O9" i="2"/>
  <c r="J9" i="2"/>
  <c r="K9" i="2" s="1"/>
  <c r="E9" i="2"/>
  <c r="F9" i="2" s="1"/>
  <c r="D9" i="2"/>
  <c r="C9" i="2"/>
  <c r="C7" i="2" s="1"/>
  <c r="BI8" i="2"/>
  <c r="BH8" i="2"/>
  <c r="BD8" i="2"/>
  <c r="BC8" i="2"/>
  <c r="BC7" i="2" s="1"/>
  <c r="BD7" i="2" s="1"/>
  <c r="AX8" i="2"/>
  <c r="AT8" i="2"/>
  <c r="AO8" i="2"/>
  <c r="AJ8" i="2"/>
  <c r="AE8" i="2"/>
  <c r="Z8" i="2"/>
  <c r="U8" i="2"/>
  <c r="P8" i="2"/>
  <c r="K8" i="2"/>
  <c r="F8" i="2"/>
  <c r="D8" i="2"/>
  <c r="AX1" i="2"/>
  <c r="BK16" i="2"/>
  <c r="BP16" i="2" s="1"/>
  <c r="BQ16" i="2" s="1"/>
  <c r="BJ16" i="2"/>
  <c r="BO16" i="2" s="1"/>
  <c r="BF16" i="2"/>
  <c r="BG16" i="2" s="1"/>
  <c r="BE16" i="2"/>
  <c r="BA16" i="2"/>
  <c r="BB16" i="2" s="1"/>
  <c r="AZ16" i="2"/>
  <c r="AV16" i="2"/>
  <c r="AW16" i="2" s="1"/>
  <c r="AU16" i="2"/>
  <c r="AQ16" i="2"/>
  <c r="AR16" i="2" s="1"/>
  <c r="AP16" i="2"/>
  <c r="AL16" i="2"/>
  <c r="AM16" i="2" s="1"/>
  <c r="AK16" i="2"/>
  <c r="AG16" i="2"/>
  <c r="AH16" i="2" s="1"/>
  <c r="AF16" i="2"/>
  <c r="AB16" i="2"/>
  <c r="AC16" i="2" s="1"/>
  <c r="AA16" i="2"/>
  <c r="W16" i="2"/>
  <c r="X16" i="2" s="1"/>
  <c r="V16" i="2"/>
  <c r="R16" i="2"/>
  <c r="S16" i="2" s="1"/>
  <c r="Q16" i="2"/>
  <c r="M16" i="2"/>
  <c r="N16" i="2" s="1"/>
  <c r="L16" i="2"/>
  <c r="H16" i="2"/>
  <c r="I16" i="2" s="1"/>
  <c r="G16" i="2"/>
  <c r="BK23" i="2"/>
  <c r="BJ23" i="2"/>
  <c r="BO23" i="2" s="1"/>
  <c r="BF23" i="2"/>
  <c r="BG23" i="2" s="1"/>
  <c r="BE23" i="2"/>
  <c r="BA23" i="2"/>
  <c r="BB23" i="2" s="1"/>
  <c r="AZ23" i="2"/>
  <c r="AV23" i="2"/>
  <c r="AW23" i="2" s="1"/>
  <c r="AU23" i="2"/>
  <c r="AQ23" i="2"/>
  <c r="AR23" i="2" s="1"/>
  <c r="AP23" i="2"/>
  <c r="AL23" i="2"/>
  <c r="AM23" i="2" s="1"/>
  <c r="AK23" i="2"/>
  <c r="AG23" i="2"/>
  <c r="AH23" i="2" s="1"/>
  <c r="AF23" i="2"/>
  <c r="AB23" i="2"/>
  <c r="AC23" i="2" s="1"/>
  <c r="AA23" i="2"/>
  <c r="W23" i="2"/>
  <c r="X23" i="2" s="1"/>
  <c r="V23" i="2"/>
  <c r="R23" i="2"/>
  <c r="S23" i="2" s="1"/>
  <c r="Q23" i="2"/>
  <c r="M23" i="2"/>
  <c r="N23" i="2" s="1"/>
  <c r="L23" i="2"/>
  <c r="H23" i="2"/>
  <c r="I23" i="2" s="1"/>
  <c r="G23" i="2"/>
  <c r="R22" i="2"/>
  <c r="Q22" i="2"/>
  <c r="M22" i="2"/>
  <c r="L22" i="2"/>
  <c r="H22" i="2"/>
  <c r="I22" i="2" s="1"/>
  <c r="G22" i="2"/>
  <c r="Z116" i="1"/>
  <c r="BK21" i="2" s="1"/>
  <c r="Y116" i="1"/>
  <c r="BJ21" i="2" s="1"/>
  <c r="BO21" i="2" s="1"/>
  <c r="X116" i="1"/>
  <c r="BF21" i="2" s="1"/>
  <c r="BG21" i="2" s="1"/>
  <c r="W116" i="1"/>
  <c r="BE21" i="2" s="1"/>
  <c r="V116" i="1"/>
  <c r="BA21" i="2" s="1"/>
  <c r="BB21" i="2" s="1"/>
  <c r="U116" i="1"/>
  <c r="AZ21" i="2" s="1"/>
  <c r="T116" i="1"/>
  <c r="AV21" i="2" s="1"/>
  <c r="AW21" i="2" s="1"/>
  <c r="S116" i="1"/>
  <c r="AU21" i="2" s="1"/>
  <c r="R116" i="1"/>
  <c r="AQ21" i="2" s="1"/>
  <c r="AR21" i="2" s="1"/>
  <c r="Q116" i="1"/>
  <c r="AP21" i="2" s="1"/>
  <c r="P116" i="1"/>
  <c r="AL21" i="2" s="1"/>
  <c r="AM21" i="2" s="1"/>
  <c r="O116" i="1"/>
  <c r="AK21" i="2" s="1"/>
  <c r="N116" i="1"/>
  <c r="AG21" i="2" s="1"/>
  <c r="AH21" i="2" s="1"/>
  <c r="M116" i="1"/>
  <c r="AF21" i="2" s="1"/>
  <c r="L116" i="1"/>
  <c r="AB21" i="2" s="1"/>
  <c r="AC21" i="2" s="1"/>
  <c r="K116" i="1"/>
  <c r="AA21" i="2" s="1"/>
  <c r="J116" i="1"/>
  <c r="W21" i="2" s="1"/>
  <c r="X21" i="2" s="1"/>
  <c r="I116" i="1"/>
  <c r="V21" i="2" s="1"/>
  <c r="H116" i="1"/>
  <c r="R21" i="2" s="1"/>
  <c r="S21" i="2" s="1"/>
  <c r="G116" i="1"/>
  <c r="Q21" i="2" s="1"/>
  <c r="F116" i="1"/>
  <c r="M21" i="2" s="1"/>
  <c r="N21" i="2" s="1"/>
  <c r="E116" i="1"/>
  <c r="L21" i="2" s="1"/>
  <c r="D116" i="1"/>
  <c r="H21" i="2" s="1"/>
  <c r="I21" i="2" s="1"/>
  <c r="C116" i="1"/>
  <c r="G21" i="2" s="1"/>
  <c r="Z112" i="1"/>
  <c r="BK20" i="2" s="1"/>
  <c r="BL20" i="2" s="1"/>
  <c r="Y112" i="1"/>
  <c r="BJ20" i="2" s="1"/>
  <c r="X112" i="1"/>
  <c r="BF20" i="2" s="1"/>
  <c r="BG20" i="2" s="1"/>
  <c r="W112" i="1"/>
  <c r="BE20" i="2" s="1"/>
  <c r="V112" i="1"/>
  <c r="BA20" i="2" s="1"/>
  <c r="BB20" i="2" s="1"/>
  <c r="U112" i="1"/>
  <c r="AZ20" i="2" s="1"/>
  <c r="T112" i="1"/>
  <c r="AV20" i="2" s="1"/>
  <c r="AW20" i="2" s="1"/>
  <c r="S112" i="1"/>
  <c r="AU20" i="2" s="1"/>
  <c r="R112" i="1"/>
  <c r="AQ20" i="2" s="1"/>
  <c r="AR20" i="2" s="1"/>
  <c r="Q112" i="1"/>
  <c r="AP20" i="2" s="1"/>
  <c r="P112" i="1"/>
  <c r="AL20" i="2" s="1"/>
  <c r="AM20" i="2" s="1"/>
  <c r="O112" i="1"/>
  <c r="AK20" i="2" s="1"/>
  <c r="N112" i="1"/>
  <c r="AG20" i="2" s="1"/>
  <c r="AH20" i="2" s="1"/>
  <c r="M112" i="1"/>
  <c r="AF20" i="2" s="1"/>
  <c r="L112" i="1"/>
  <c r="AB20" i="2" s="1"/>
  <c r="AC20" i="2" s="1"/>
  <c r="K112" i="1"/>
  <c r="AA20" i="2" s="1"/>
  <c r="J112" i="1"/>
  <c r="W20" i="2" s="1"/>
  <c r="X20" i="2" s="1"/>
  <c r="I112" i="1"/>
  <c r="V20" i="2" s="1"/>
  <c r="H112" i="1"/>
  <c r="R20" i="2" s="1"/>
  <c r="S20" i="2" s="1"/>
  <c r="G112" i="1"/>
  <c r="Q20" i="2" s="1"/>
  <c r="F112" i="1"/>
  <c r="M20" i="2" s="1"/>
  <c r="N20" i="2" s="1"/>
  <c r="E112" i="1"/>
  <c r="L20" i="2" s="1"/>
  <c r="D112" i="1"/>
  <c r="H20" i="2" s="1"/>
  <c r="I20" i="2" s="1"/>
  <c r="C112" i="1"/>
  <c r="G20" i="2" s="1"/>
  <c r="Z104" i="1"/>
  <c r="BK19" i="2" s="1"/>
  <c r="BL19" i="2" s="1"/>
  <c r="Y104" i="1"/>
  <c r="BJ19" i="2" s="1"/>
  <c r="BO19" i="2" s="1"/>
  <c r="X104" i="1"/>
  <c r="BF19" i="2" s="1"/>
  <c r="BG19" i="2" s="1"/>
  <c r="W104" i="1"/>
  <c r="BE19" i="2" s="1"/>
  <c r="V104" i="1"/>
  <c r="BA19" i="2" s="1"/>
  <c r="BB19" i="2" s="1"/>
  <c r="U104" i="1"/>
  <c r="AZ19" i="2" s="1"/>
  <c r="T104" i="1"/>
  <c r="AV19" i="2" s="1"/>
  <c r="AW19" i="2" s="1"/>
  <c r="S104" i="1"/>
  <c r="AU19" i="2" s="1"/>
  <c r="R104" i="1"/>
  <c r="AQ19" i="2" s="1"/>
  <c r="AR19" i="2" s="1"/>
  <c r="Q104" i="1"/>
  <c r="AP19" i="2" s="1"/>
  <c r="P104" i="1"/>
  <c r="AL19" i="2" s="1"/>
  <c r="AM19" i="2" s="1"/>
  <c r="O104" i="1"/>
  <c r="AK19" i="2" s="1"/>
  <c r="N104" i="1"/>
  <c r="AG19" i="2" s="1"/>
  <c r="AH19" i="2" s="1"/>
  <c r="M104" i="1"/>
  <c r="AF19" i="2" s="1"/>
  <c r="L104" i="1"/>
  <c r="AB19" i="2" s="1"/>
  <c r="AC19" i="2" s="1"/>
  <c r="K104" i="1"/>
  <c r="AA19" i="2" s="1"/>
  <c r="J104" i="1"/>
  <c r="W19" i="2" s="1"/>
  <c r="X19" i="2" s="1"/>
  <c r="I104" i="1"/>
  <c r="V19" i="2" s="1"/>
  <c r="H104" i="1"/>
  <c r="R19" i="2" s="1"/>
  <c r="S19" i="2" s="1"/>
  <c r="G104" i="1"/>
  <c r="Q19" i="2" s="1"/>
  <c r="F104" i="1"/>
  <c r="M19" i="2" s="1"/>
  <c r="N19" i="2" s="1"/>
  <c r="E104" i="1"/>
  <c r="L19" i="2" s="1"/>
  <c r="D104" i="1"/>
  <c r="H19" i="2" s="1"/>
  <c r="I19" i="2" s="1"/>
  <c r="C104" i="1"/>
  <c r="G19" i="2" s="1"/>
  <c r="Z101" i="1"/>
  <c r="BK18" i="2" s="1"/>
  <c r="BL18" i="2" s="1"/>
  <c r="Y101" i="1"/>
  <c r="BJ18" i="2" s="1"/>
  <c r="BO18" i="2" s="1"/>
  <c r="X101" i="1"/>
  <c r="BF18" i="2" s="1"/>
  <c r="BG18" i="2" s="1"/>
  <c r="W101" i="1"/>
  <c r="BE18" i="2" s="1"/>
  <c r="V101" i="1"/>
  <c r="BA18" i="2" s="1"/>
  <c r="BB18" i="2" s="1"/>
  <c r="U101" i="1"/>
  <c r="AZ18" i="2" s="1"/>
  <c r="T101" i="1"/>
  <c r="AV18" i="2" s="1"/>
  <c r="AW18" i="2" s="1"/>
  <c r="S101" i="1"/>
  <c r="AU18" i="2" s="1"/>
  <c r="R101" i="1"/>
  <c r="AQ18" i="2" s="1"/>
  <c r="AR18" i="2" s="1"/>
  <c r="Q101" i="1"/>
  <c r="AP18" i="2" s="1"/>
  <c r="P101" i="1"/>
  <c r="AL18" i="2" s="1"/>
  <c r="AM18" i="2" s="1"/>
  <c r="O101" i="1"/>
  <c r="AK18" i="2" s="1"/>
  <c r="N101" i="1"/>
  <c r="AG18" i="2" s="1"/>
  <c r="AH18" i="2" s="1"/>
  <c r="M101" i="1"/>
  <c r="AF18" i="2" s="1"/>
  <c r="L101" i="1"/>
  <c r="AB18" i="2" s="1"/>
  <c r="AC18" i="2" s="1"/>
  <c r="K101" i="1"/>
  <c r="AA18" i="2" s="1"/>
  <c r="J101" i="1"/>
  <c r="W18" i="2" s="1"/>
  <c r="X18" i="2" s="1"/>
  <c r="I101" i="1"/>
  <c r="V18" i="2" s="1"/>
  <c r="H101" i="1"/>
  <c r="R18" i="2" s="1"/>
  <c r="S18" i="2" s="1"/>
  <c r="G101" i="1"/>
  <c r="Q18" i="2" s="1"/>
  <c r="F101" i="1"/>
  <c r="M18" i="2" s="1"/>
  <c r="N18" i="2" s="1"/>
  <c r="E101" i="1"/>
  <c r="L18" i="2" s="1"/>
  <c r="D101" i="1"/>
  <c r="H18" i="2" s="1"/>
  <c r="I18" i="2" s="1"/>
  <c r="C101" i="1"/>
  <c r="G18" i="2" s="1"/>
  <c r="Z98" i="1"/>
  <c r="BK17" i="2" s="1"/>
  <c r="Y98" i="1"/>
  <c r="BJ17" i="2" s="1"/>
  <c r="X98" i="1"/>
  <c r="BF17" i="2" s="1"/>
  <c r="BG17" i="2" s="1"/>
  <c r="W98" i="1"/>
  <c r="BE17" i="2" s="1"/>
  <c r="V98" i="1"/>
  <c r="BA17" i="2" s="1"/>
  <c r="U98" i="1"/>
  <c r="AZ17" i="2" s="1"/>
  <c r="T98" i="1"/>
  <c r="AV17" i="2" s="1"/>
  <c r="S98" i="1"/>
  <c r="AU17" i="2" s="1"/>
  <c r="R98" i="1"/>
  <c r="AQ17" i="2" s="1"/>
  <c r="AR17" i="2" s="1"/>
  <c r="Q98" i="1"/>
  <c r="AP17" i="2" s="1"/>
  <c r="P98" i="1"/>
  <c r="AL17" i="2" s="1"/>
  <c r="AM17" i="2" s="1"/>
  <c r="O98" i="1"/>
  <c r="AK17" i="2" s="1"/>
  <c r="N98" i="1"/>
  <c r="AG17" i="2" s="1"/>
  <c r="AH17" i="2" s="1"/>
  <c r="M98" i="1"/>
  <c r="AF17" i="2" s="1"/>
  <c r="AF15" i="2" s="1"/>
  <c r="L98" i="1"/>
  <c r="AB17" i="2" s="1"/>
  <c r="K98" i="1"/>
  <c r="AA17" i="2" s="1"/>
  <c r="J98" i="1"/>
  <c r="W17" i="2" s="1"/>
  <c r="W15" i="2" s="1"/>
  <c r="X15" i="2" s="1"/>
  <c r="I98" i="1"/>
  <c r="V17" i="2" s="1"/>
  <c r="H98" i="1"/>
  <c r="R17" i="2" s="1"/>
  <c r="G98" i="1"/>
  <c r="Q17" i="2" s="1"/>
  <c r="F98" i="1"/>
  <c r="M17" i="2" s="1"/>
  <c r="E98" i="1"/>
  <c r="L17" i="2" s="1"/>
  <c r="D98" i="1"/>
  <c r="H17" i="2" s="1"/>
  <c r="I17" i="2" s="1"/>
  <c r="C98" i="1"/>
  <c r="G17" i="2" s="1"/>
  <c r="Z90" i="1"/>
  <c r="BK12" i="2" s="1"/>
  <c r="Y90" i="1"/>
  <c r="BJ12" i="2" s="1"/>
  <c r="BO12" i="2" s="1"/>
  <c r="X90" i="1"/>
  <c r="BF12" i="2" s="1"/>
  <c r="BG12" i="2" s="1"/>
  <c r="W90" i="1"/>
  <c r="BE12" i="2" s="1"/>
  <c r="V90" i="1"/>
  <c r="BA12" i="2" s="1"/>
  <c r="BB12" i="2" s="1"/>
  <c r="U90" i="1"/>
  <c r="AZ12" i="2" s="1"/>
  <c r="T90" i="1"/>
  <c r="AV12" i="2" s="1"/>
  <c r="AW12" i="2" s="1"/>
  <c r="S90" i="1"/>
  <c r="AU12" i="2" s="1"/>
  <c r="R90" i="1"/>
  <c r="AQ12" i="2" s="1"/>
  <c r="AR12" i="2" s="1"/>
  <c r="Q90" i="1"/>
  <c r="AP12" i="2" s="1"/>
  <c r="P90" i="1"/>
  <c r="AL12" i="2" s="1"/>
  <c r="AM12" i="2" s="1"/>
  <c r="O90" i="1"/>
  <c r="AK12" i="2" s="1"/>
  <c r="N90" i="1"/>
  <c r="AG12" i="2" s="1"/>
  <c r="AH12" i="2" s="1"/>
  <c r="M90" i="1"/>
  <c r="AF12" i="2" s="1"/>
  <c r="L90" i="1"/>
  <c r="AB12" i="2" s="1"/>
  <c r="AC12" i="2" s="1"/>
  <c r="K90" i="1"/>
  <c r="AA12" i="2" s="1"/>
  <c r="J90" i="1"/>
  <c r="W12" i="2" s="1"/>
  <c r="X12" i="2" s="1"/>
  <c r="I90" i="1"/>
  <c r="V12" i="2" s="1"/>
  <c r="H90" i="1"/>
  <c r="R12" i="2" s="1"/>
  <c r="S12" i="2" s="1"/>
  <c r="G90" i="1"/>
  <c r="Q12" i="2" s="1"/>
  <c r="F90" i="1"/>
  <c r="M12" i="2" s="1"/>
  <c r="N12" i="2" s="1"/>
  <c r="E90" i="1"/>
  <c r="L12" i="2" s="1"/>
  <c r="D90" i="1"/>
  <c r="H12" i="2" s="1"/>
  <c r="I12" i="2" s="1"/>
  <c r="C90" i="1"/>
  <c r="G12" i="2" s="1"/>
  <c r="Y85" i="1"/>
  <c r="BJ11" i="2" s="1"/>
  <c r="W85" i="1"/>
  <c r="BE11" i="2" s="1"/>
  <c r="U85" i="1"/>
  <c r="AZ11" i="2" s="1"/>
  <c r="S85" i="1"/>
  <c r="AU11" i="2" s="1"/>
  <c r="Q85" i="1"/>
  <c r="AP11" i="2" s="1"/>
  <c r="O85" i="1"/>
  <c r="AK11" i="2" s="1"/>
  <c r="M85" i="1"/>
  <c r="AF11" i="2" s="1"/>
  <c r="K85" i="1"/>
  <c r="AA11" i="2" s="1"/>
  <c r="I85" i="1"/>
  <c r="V11" i="2" s="1"/>
  <c r="G85" i="1"/>
  <c r="Q11" i="2" s="1"/>
  <c r="E85" i="1"/>
  <c r="L11" i="2" s="1"/>
  <c r="C85" i="1"/>
  <c r="G11" i="2" s="1"/>
  <c r="G9" i="2" s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Z83" i="1"/>
  <c r="Y83" i="1"/>
  <c r="BO8" i="2" s="1"/>
  <c r="X83" i="1"/>
  <c r="BF8" i="2" s="1"/>
  <c r="BG8" i="2" s="1"/>
  <c r="W83" i="1"/>
  <c r="BE8" i="2" s="1"/>
  <c r="V83" i="1"/>
  <c r="BA8" i="2" s="1"/>
  <c r="BB8" i="2" s="1"/>
  <c r="U83" i="1"/>
  <c r="AZ8" i="2" s="1"/>
  <c r="T83" i="1"/>
  <c r="AV8" i="2" s="1"/>
  <c r="AW8" i="2" s="1"/>
  <c r="S83" i="1"/>
  <c r="AU8" i="2" s="1"/>
  <c r="R83" i="1"/>
  <c r="AQ8" i="2" s="1"/>
  <c r="AR8" i="2" s="1"/>
  <c r="Q83" i="1"/>
  <c r="AP8" i="2" s="1"/>
  <c r="P83" i="1"/>
  <c r="AL8" i="2" s="1"/>
  <c r="AM8" i="2" s="1"/>
  <c r="O83" i="1"/>
  <c r="AK8" i="2" s="1"/>
  <c r="N83" i="1"/>
  <c r="AG8" i="2" s="1"/>
  <c r="AH8" i="2" s="1"/>
  <c r="M83" i="1"/>
  <c r="AF8" i="2" s="1"/>
  <c r="L83" i="1"/>
  <c r="AB8" i="2" s="1"/>
  <c r="AC8" i="2" s="1"/>
  <c r="K83" i="1"/>
  <c r="AA8" i="2" s="1"/>
  <c r="J83" i="1"/>
  <c r="W8" i="2" s="1"/>
  <c r="X8" i="2" s="1"/>
  <c r="I83" i="1"/>
  <c r="V8" i="2" s="1"/>
  <c r="H83" i="1"/>
  <c r="R8" i="2" s="1"/>
  <c r="S8" i="2" s="1"/>
  <c r="G83" i="1"/>
  <c r="Q8" i="2" s="1"/>
  <c r="F83" i="1"/>
  <c r="M8" i="2" s="1"/>
  <c r="N8" i="2" s="1"/>
  <c r="E83" i="1"/>
  <c r="L8" i="2" s="1"/>
  <c r="D83" i="1"/>
  <c r="H8" i="2" s="1"/>
  <c r="I8" i="2" s="1"/>
  <c r="C83" i="1"/>
  <c r="G8" i="2" s="1"/>
  <c r="Z48" i="1"/>
  <c r="BK10" i="2" s="1"/>
  <c r="Y48" i="1"/>
  <c r="BJ10" i="2" s="1"/>
  <c r="BO10" i="2" s="1"/>
  <c r="X48" i="1"/>
  <c r="BF10" i="2" s="1"/>
  <c r="BG10" i="2" s="1"/>
  <c r="W48" i="1"/>
  <c r="BE10" i="2" s="1"/>
  <c r="V48" i="1"/>
  <c r="BA10" i="2" s="1"/>
  <c r="BB10" i="2" s="1"/>
  <c r="U48" i="1"/>
  <c r="AZ10" i="2" s="1"/>
  <c r="T48" i="1"/>
  <c r="AV10" i="2" s="1"/>
  <c r="AW10" i="2" s="1"/>
  <c r="S48" i="1"/>
  <c r="AU10" i="2" s="1"/>
  <c r="R48" i="1"/>
  <c r="AQ10" i="2" s="1"/>
  <c r="AR10" i="2" s="1"/>
  <c r="Q48" i="1"/>
  <c r="AP10" i="2" s="1"/>
  <c r="P48" i="1"/>
  <c r="AL10" i="2" s="1"/>
  <c r="AM10" i="2" s="1"/>
  <c r="O48" i="1"/>
  <c r="AK10" i="2" s="1"/>
  <c r="N48" i="1"/>
  <c r="AG10" i="2" s="1"/>
  <c r="AH10" i="2" s="1"/>
  <c r="M48" i="1"/>
  <c r="AF10" i="2" s="1"/>
  <c r="L48" i="1"/>
  <c r="AB10" i="2" s="1"/>
  <c r="AC10" i="2" s="1"/>
  <c r="K48" i="1"/>
  <c r="AA10" i="2" s="1"/>
  <c r="J48" i="1"/>
  <c r="W10" i="2" s="1"/>
  <c r="X10" i="2" s="1"/>
  <c r="I48" i="1"/>
  <c r="V10" i="2" s="1"/>
  <c r="H48" i="1"/>
  <c r="R10" i="2" s="1"/>
  <c r="S10" i="2" s="1"/>
  <c r="G48" i="1"/>
  <c r="Q10" i="2" s="1"/>
  <c r="F48" i="1"/>
  <c r="M10" i="2" s="1"/>
  <c r="N10" i="2" s="1"/>
  <c r="E48" i="1"/>
  <c r="L10" i="2" s="1"/>
  <c r="D48" i="1"/>
  <c r="H10" i="2" s="1"/>
  <c r="I10" i="2" s="1"/>
  <c r="C48" i="1"/>
  <c r="G10" i="2" s="1"/>
  <c r="W11" i="2" l="1"/>
  <c r="X11" i="2" s="1"/>
  <c r="BE9" i="2"/>
  <c r="BK11" i="2"/>
  <c r="BL11" i="2" s="1"/>
  <c r="L9" i="2"/>
  <c r="R11" i="2"/>
  <c r="S11" i="2" s="1"/>
  <c r="AV11" i="2"/>
  <c r="AW11" i="2" s="1"/>
  <c r="R15" i="2"/>
  <c r="S15" i="2" s="1"/>
  <c r="AL11" i="2"/>
  <c r="AM11" i="2" s="1"/>
  <c r="L14" i="2"/>
  <c r="AZ9" i="2"/>
  <c r="AU15" i="2"/>
  <c r="L7" i="2"/>
  <c r="R14" i="2"/>
  <c r="S14" i="2" s="1"/>
  <c r="AG46" i="1"/>
  <c r="AG11" i="2"/>
  <c r="AG9" i="2" s="1"/>
  <c r="AH9" i="2" s="1"/>
  <c r="V15" i="2"/>
  <c r="AU9" i="2"/>
  <c r="Q9" i="2"/>
  <c r="BP18" i="2"/>
  <c r="BQ18" i="2" s="1"/>
  <c r="M11" i="2"/>
  <c r="R85" i="1"/>
  <c r="L15" i="2"/>
  <c r="AP15" i="2"/>
  <c r="AA9" i="2"/>
  <c r="H85" i="1"/>
  <c r="T85" i="1"/>
  <c r="Q14" i="2"/>
  <c r="G15" i="2"/>
  <c r="AK9" i="2"/>
  <c r="J85" i="1"/>
  <c r="P85" i="1"/>
  <c r="AZ15" i="2"/>
  <c r="G14" i="2"/>
  <c r="AP9" i="2"/>
  <c r="D85" i="1"/>
  <c r="L85" i="1"/>
  <c r="BF11" i="2"/>
  <c r="BF9" i="2" s="1"/>
  <c r="BG9" i="2" s="1"/>
  <c r="AQ11" i="2"/>
  <c r="AR11" i="2" s="1"/>
  <c r="BP10" i="2"/>
  <c r="BQ10" i="2" s="1"/>
  <c r="BL10" i="2"/>
  <c r="BP21" i="2"/>
  <c r="BQ21" i="2" s="1"/>
  <c r="BL21" i="2"/>
  <c r="BU25" i="2"/>
  <c r="BU26" i="2" s="1"/>
  <c r="K7" i="2"/>
  <c r="BP17" i="2"/>
  <c r="BK15" i="2"/>
  <c r="BL15" i="2" s="1"/>
  <c r="BL17" i="2"/>
  <c r="BJ9" i="2"/>
  <c r="AF9" i="2"/>
  <c r="AW17" i="2"/>
  <c r="AV15" i="2"/>
  <c r="AW15" i="2" s="1"/>
  <c r="BB17" i="2"/>
  <c r="BA15" i="2"/>
  <c r="BB15" i="2" s="1"/>
  <c r="BL12" i="2"/>
  <c r="BP12" i="2"/>
  <c r="BQ12" i="2" s="1"/>
  <c r="BP23" i="2"/>
  <c r="BQ23" i="2" s="1"/>
  <c r="BL23" i="2"/>
  <c r="BE15" i="2"/>
  <c r="K14" i="2"/>
  <c r="J25" i="2"/>
  <c r="J7" i="2"/>
  <c r="AK15" i="2"/>
  <c r="BA11" i="2"/>
  <c r="Z85" i="1"/>
  <c r="AG85" i="1" s="1"/>
  <c r="E7" i="2"/>
  <c r="F7" i="2" s="1"/>
  <c r="BM8" i="2"/>
  <c r="AY8" i="2"/>
  <c r="Z9" i="2"/>
  <c r="AX9" i="2"/>
  <c r="V9" i="2"/>
  <c r="AL15" i="2"/>
  <c r="AM15" i="2" s="1"/>
  <c r="BP20" i="2"/>
  <c r="BQ20" i="2" s="1"/>
  <c r="AY23" i="2"/>
  <c r="AC17" i="2"/>
  <c r="AB15" i="2"/>
  <c r="AC15" i="2" s="1"/>
  <c r="BO11" i="2"/>
  <c r="BO9" i="2" s="1"/>
  <c r="AG15" i="2"/>
  <c r="AH15" i="2" s="1"/>
  <c r="BP19" i="2"/>
  <c r="BQ19" i="2" s="1"/>
  <c r="BO20" i="2"/>
  <c r="AB11" i="2"/>
  <c r="N85" i="1"/>
  <c r="AD98" i="1"/>
  <c r="AI7" i="2"/>
  <c r="AJ7" i="2" s="1"/>
  <c r="AY10" i="2"/>
  <c r="H11" i="2"/>
  <c r="S17" i="2"/>
  <c r="BI17" i="2"/>
  <c r="BN18" i="2"/>
  <c r="BT20" i="2"/>
  <c r="AY21" i="2"/>
  <c r="AX14" i="2"/>
  <c r="AY14" i="2" s="1"/>
  <c r="BO17" i="2"/>
  <c r="BO15" i="2" s="1"/>
  <c r="BJ15" i="2"/>
  <c r="AT12" i="2"/>
  <c r="BI13" i="2"/>
  <c r="AD14" i="2"/>
  <c r="AE14" i="2" s="1"/>
  <c r="BM12" i="2"/>
  <c r="U12" i="2"/>
  <c r="BK8" i="2"/>
  <c r="BL8" i="2" s="1"/>
  <c r="BP8" i="2"/>
  <c r="BQ8" i="2" s="1"/>
  <c r="BF15" i="2"/>
  <c r="BG15" i="2" s="1"/>
  <c r="AE20" i="2"/>
  <c r="N17" i="2"/>
  <c r="M15" i="2"/>
  <c r="N15" i="2" s="1"/>
  <c r="AL9" i="2"/>
  <c r="AM9" i="2" s="1"/>
  <c r="BH15" i="2"/>
  <c r="BI15" i="2" s="1"/>
  <c r="BL16" i="2"/>
  <c r="X17" i="2"/>
  <c r="BM17" i="2"/>
  <c r="AX41" i="2"/>
  <c r="AX43" i="2" s="1"/>
  <c r="AA22" i="2"/>
  <c r="AA14" i="2" s="1"/>
  <c r="BM22" i="2"/>
  <c r="K22" i="2"/>
  <c r="O7" i="2"/>
  <c r="P7" i="2" s="1"/>
  <c r="BK9" i="2"/>
  <c r="BL9" i="2" s="1"/>
  <c r="BD9" i="2"/>
  <c r="BM13" i="2"/>
  <c r="AQ15" i="2"/>
  <c r="AR15" i="2" s="1"/>
  <c r="AX15" i="2"/>
  <c r="AY15" i="2" s="1"/>
  <c r="BU17" i="2"/>
  <c r="BM23" i="2"/>
  <c r="H14" i="2"/>
  <c r="I14" i="2" s="1"/>
  <c r="Q15" i="2"/>
  <c r="V85" i="1"/>
  <c r="M14" i="2"/>
  <c r="N14" i="2" s="1"/>
  <c r="N22" i="2"/>
  <c r="P9" i="2"/>
  <c r="AS9" i="2"/>
  <c r="R9" i="2"/>
  <c r="S9" i="2" s="1"/>
  <c r="BD11" i="2"/>
  <c r="BI22" i="2"/>
  <c r="BU7" i="2"/>
  <c r="BU4" i="2" s="1"/>
  <c r="BU3" i="2" s="1"/>
  <c r="BM21" i="2"/>
  <c r="W22" i="2"/>
  <c r="BJ8" i="2"/>
  <c r="AN9" i="2"/>
  <c r="AY17" i="2"/>
  <c r="AJ20" i="2"/>
  <c r="AI14" i="2"/>
  <c r="AJ14" i="2" s="1"/>
  <c r="S22" i="2"/>
  <c r="X85" i="1"/>
  <c r="AA15" i="2"/>
  <c r="T9" i="2"/>
  <c r="BM11" i="2"/>
  <c r="H15" i="2"/>
  <c r="I15" i="2" s="1"/>
  <c r="AT21" i="2"/>
  <c r="BU21" i="2"/>
  <c r="BU29" i="2" s="1"/>
  <c r="BU31" i="2" s="1"/>
  <c r="V22" i="2"/>
  <c r="V14" i="2" s="1"/>
  <c r="BM10" i="2"/>
  <c r="BM16" i="2"/>
  <c r="F85" i="1"/>
  <c r="W9" i="2" l="1"/>
  <c r="X9" i="2" s="1"/>
  <c r="BP11" i="2"/>
  <c r="V7" i="2"/>
  <c r="AV9" i="2"/>
  <c r="AW9" i="2" s="1"/>
  <c r="G7" i="2"/>
  <c r="BG11" i="2"/>
  <c r="AH11" i="2"/>
  <c r="AA7" i="2"/>
  <c r="Q7" i="2"/>
  <c r="N11" i="2"/>
  <c r="M9" i="2"/>
  <c r="N9" i="2" s="1"/>
  <c r="AQ9" i="2"/>
  <c r="AR9" i="2" s="1"/>
  <c r="BN12" i="2"/>
  <c r="BT12" i="2"/>
  <c r="BT13" i="2"/>
  <c r="BN13" i="2"/>
  <c r="X22" i="2"/>
  <c r="W14" i="2"/>
  <c r="X14" i="2" s="1"/>
  <c r="BN21" i="2"/>
  <c r="BT21" i="2"/>
  <c r="BN8" i="2"/>
  <c r="BR8" i="2"/>
  <c r="BR1" i="2" s="1"/>
  <c r="BM7" i="2"/>
  <c r="BN7" i="2" s="1"/>
  <c r="BQ17" i="2"/>
  <c r="BP15" i="2"/>
  <c r="BQ15" i="2" s="1"/>
  <c r="AF22" i="2"/>
  <c r="AF14" i="2" s="1"/>
  <c r="AF7" i="2" s="1"/>
  <c r="AD7" i="2"/>
  <c r="AE7" i="2" s="1"/>
  <c r="BB11" i="2"/>
  <c r="BA9" i="2"/>
  <c r="BB9" i="2" s="1"/>
  <c r="BN16" i="2"/>
  <c r="BT16" i="2"/>
  <c r="BT14" i="2" s="1"/>
  <c r="BM15" i="2"/>
  <c r="BN15" i="2" s="1"/>
  <c r="BN10" i="2"/>
  <c r="BT10" i="2"/>
  <c r="BT8" i="2" s="1"/>
  <c r="BT7" i="2" s="1"/>
  <c r="BH32" i="2"/>
  <c r="BM9" i="2"/>
  <c r="BN9" i="2" s="1"/>
  <c r="BN23" i="2"/>
  <c r="BT23" i="2"/>
  <c r="AC11" i="2"/>
  <c r="AB9" i="2"/>
  <c r="AC9" i="2" s="1"/>
  <c r="BM1" i="2"/>
  <c r="BM2" i="2" s="1"/>
  <c r="BN11" i="2"/>
  <c r="BT11" i="2"/>
  <c r="U9" i="2"/>
  <c r="T7" i="2"/>
  <c r="U7" i="2" s="1"/>
  <c r="BP9" i="2"/>
  <c r="BQ9" i="2" s="1"/>
  <c r="BQ11" i="2"/>
  <c r="H9" i="2"/>
  <c r="I9" i="2" s="1"/>
  <c r="I11" i="2"/>
  <c r="BH7" i="2"/>
  <c r="BI7" i="2" s="1"/>
  <c r="BN22" i="2"/>
  <c r="BT22" i="2"/>
  <c r="BM14" i="2"/>
  <c r="AB22" i="2"/>
  <c r="AN7" i="2"/>
  <c r="AO7" i="2" s="1"/>
  <c r="AO9" i="2"/>
  <c r="AT9" i="2"/>
  <c r="AS7" i="2"/>
  <c r="AT7" i="2" s="1"/>
  <c r="BN17" i="2"/>
  <c r="BT17" i="2"/>
  <c r="AX7" i="2"/>
  <c r="AY9" i="2"/>
  <c r="AG22" i="2" l="1"/>
  <c r="AC22" i="2"/>
  <c r="AB14" i="2"/>
  <c r="AC14" i="2" s="1"/>
  <c r="BR14" i="2"/>
  <c r="BN14" i="2"/>
  <c r="AX31" i="2"/>
  <c r="AY7" i="2"/>
  <c r="AK22" i="2"/>
  <c r="AK14" i="2" s="1"/>
  <c r="AK7" i="2" s="1"/>
  <c r="AP22" i="2" l="1"/>
  <c r="AP14" i="2" s="1"/>
  <c r="AP7" i="2" s="1"/>
  <c r="AG14" i="2"/>
  <c r="AH14" i="2" s="1"/>
  <c r="AH22" i="2"/>
  <c r="AL22" i="2"/>
  <c r="AM22" i="2" l="1"/>
  <c r="AL14" i="2"/>
  <c r="AM14" i="2" s="1"/>
  <c r="AU22" i="2"/>
  <c r="AU14" i="2" s="1"/>
  <c r="AU7" i="2" s="1"/>
  <c r="AQ22" i="2"/>
  <c r="AV22" i="2" l="1"/>
  <c r="AR22" i="2"/>
  <c r="AQ14" i="2"/>
  <c r="AR14" i="2" s="1"/>
  <c r="AZ22" i="2"/>
  <c r="AZ14" i="2" s="1"/>
  <c r="AZ7" i="2" s="1"/>
  <c r="BE22" i="2" l="1"/>
  <c r="BE14" i="2" s="1"/>
  <c r="BE7" i="2" s="1"/>
  <c r="BJ22" i="2"/>
  <c r="AV14" i="2"/>
  <c r="AW14" i="2" s="1"/>
  <c r="AW22" i="2"/>
  <c r="BA22" i="2"/>
  <c r="BF22" i="2" l="1"/>
  <c r="BB22" i="2"/>
  <c r="BA14" i="2"/>
  <c r="BB14" i="2" s="1"/>
  <c r="BO22" i="2"/>
  <c r="BO14" i="2" s="1"/>
  <c r="BJ14" i="2"/>
  <c r="BJ7" i="2" s="1"/>
  <c r="BK22" i="2" l="1"/>
  <c r="BF14" i="2"/>
  <c r="BG14" i="2" s="1"/>
  <c r="BG22" i="2"/>
  <c r="BL22" i="2" l="1"/>
  <c r="BP22" i="2"/>
  <c r="BK14" i="2"/>
  <c r="BL14" i="2" s="1"/>
  <c r="BQ22" i="2" l="1"/>
  <c r="BP14" i="2"/>
  <c r="BQ14" i="2" s="1"/>
</calcChain>
</file>

<file path=xl/sharedStrings.xml><?xml version="1.0" encoding="utf-8"?>
<sst xmlns="http://schemas.openxmlformats.org/spreadsheetml/2006/main" count="475" uniqueCount="272">
  <si>
    <t>t</t>
  </si>
  <si>
    <t>LINK REALISASI</t>
  </si>
  <si>
    <t>REALISASI 2024</t>
  </si>
  <si>
    <t>NO.</t>
  </si>
  <si>
    <t>NAMA PAKET</t>
  </si>
  <si>
    <t>BULAN</t>
  </si>
  <si>
    <t>Keterangan</t>
  </si>
  <si>
    <t>Dokumentasi</t>
  </si>
  <si>
    <t>Januari</t>
  </si>
  <si>
    <t xml:space="preserve"> 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</si>
  <si>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</si>
  <si>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</si>
  <si>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</si>
  <si>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</si>
  <si>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</si>
  <si>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</si>
  <si>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</si>
  <si>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</si>
  <si>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</si>
  <si>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</si>
  <si>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Persen</t>
  </si>
  <si>
    <t>Meter</t>
  </si>
  <si>
    <t>I</t>
  </si>
  <si>
    <t>Program Pengelolaan Sumber Daya Air</t>
  </si>
  <si>
    <t>I.a</t>
  </si>
  <si>
    <t>Kegiatan Pengelolaan SDA dan Bangunan Pengaman Pantai pada Wilayah Sungai (WS) dalam 1 (Satu) Daerah Kabupaten/Kota</t>
  </si>
  <si>
    <t>A</t>
  </si>
  <si>
    <t>Pembangunan Bangunan Perkuatan Tebing</t>
  </si>
  <si>
    <t>Perkuatan Tebing Desa Baru RT.04 Kec. Sungai Raya</t>
  </si>
  <si>
    <t>Selesai</t>
  </si>
  <si>
    <t>02°50'22.87"S115°12'43.66"E</t>
  </si>
  <si>
    <t>Perkuatan Tebing di Desa Batu Laki Kec. Padang Batung</t>
  </si>
  <si>
    <t>02°51'32.4"S 115°17'50.7"E</t>
  </si>
  <si>
    <t>Perkuatan Tebing di belakang Tk.Banjar Pasar Kandangan Kel. Kandangan Kota, Kec. Kandangan</t>
  </si>
  <si>
    <t>2˚47'19.83''S  115˚15'59.51''E</t>
  </si>
  <si>
    <t>Perkuatan Tebing di Desa Kalumpang Kec. Kalumpang</t>
  </si>
  <si>
    <t>02°49'18.99"S115° 9'26.57"E</t>
  </si>
  <si>
    <t>Perkuatan Tebing Desa Batu Bini, Kec. Padang Batung</t>
  </si>
  <si>
    <t>02°49'31.78"S 115°19'7.00"E</t>
  </si>
  <si>
    <t>Perkuatan Tebing Desa Taniran Kubah Kec. Angkinang</t>
  </si>
  <si>
    <t>2.73470098S 115.26729158E</t>
  </si>
  <si>
    <t>Perkuatan Tebing Desa Angkinang Selatan Kec. Angkinang</t>
  </si>
  <si>
    <t>2.7347516S 115.28932926E</t>
  </si>
  <si>
    <t>Perkuatan Tebing Desa Lokbinuang Kec. Telaga Langsat</t>
  </si>
  <si>
    <t>02°43'48"S 115°18'46"E</t>
  </si>
  <si>
    <t>Perkuatan Tebing Desa Lumpangi Kec. Loksado</t>
  </si>
  <si>
    <t>02°48'45.7"S 115°25'04.1"E</t>
  </si>
  <si>
    <t>Addendum</t>
  </si>
  <si>
    <t>Perkuatan Tebing Desa Taniran selatan Kec. Angkinang</t>
  </si>
  <si>
    <t>2.73605024S 115.27377689E</t>
  </si>
  <si>
    <t>Taniran Kubah</t>
  </si>
  <si>
    <t>Perkuatan Tebing di Kelurahan Kandangan kota</t>
  </si>
  <si>
    <t>2.78510302S 115.27079596E</t>
  </si>
  <si>
    <t>Perkuatan Tebing Desa Jembatan Merah RT.01 Kec. Padang Batung</t>
  </si>
  <si>
    <t>02°48'36"S 115°17'22"E</t>
  </si>
  <si>
    <t>Perkuatan Tebing di Belakang KUA Desa Padang Batung Kec. Padang Batung</t>
  </si>
  <si>
    <t>2.81887541S 115.29886869E</t>
  </si>
  <si>
    <t>Perkuatan Tebing di Desa Loksado RT.04 Kec. Loksado</t>
  </si>
  <si>
    <t>02°47'29.5"S 115°29'53.3"E</t>
  </si>
  <si>
    <t>Perkuatan Tebing di Desa Ulang Kec. Loksado</t>
  </si>
  <si>
    <t>02°46'18.9"S 115°28'19.7"E</t>
  </si>
  <si>
    <t>Perkuatan Tebing Kelurahan Kandangan Kota RT.07 Kec. Kandangan</t>
  </si>
  <si>
    <t>2˚47'13.49''S  115˚16'24.05''E</t>
  </si>
  <si>
    <t>Perkuatan Tebing di Desa Loksado Rt.02 Kec. Loksado (Lanjutan)</t>
  </si>
  <si>
    <t>02°47'40.32"S 115°29'38.86"E</t>
  </si>
  <si>
    <t>Perkuatan Tebing di Desa Padang Batung Rt.02 Kec. Padang Batung</t>
  </si>
  <si>
    <t>02°49'02.2"S 115°17'49.3"E</t>
  </si>
  <si>
    <t>Perkuatan Tebing di Desa Angkinang Kec. Angkinang</t>
  </si>
  <si>
    <t>2˚43'53.58''S  115˚18'15.18''E</t>
  </si>
  <si>
    <t>Perkuatan Tebing Desa Telaga langsat Kec. Telaga langsat</t>
  </si>
  <si>
    <t>Perkuatan tebing di desa Amawang kiri muka Kec.Kandangan</t>
  </si>
  <si>
    <t xml:space="preserve">  2°46'49.62"S 115°15'23.35"E
</t>
  </si>
  <si>
    <t>Perkuatan tebing di desa Batang Kulur tengah Kec.Sungai raya</t>
  </si>
  <si>
    <t xml:space="preserve">  2°50'55.21"S 115°14'15.04"E
</t>
  </si>
  <si>
    <t>Perkuatan Tebing di Desa Halunuk Kec. Loksado</t>
  </si>
  <si>
    <t xml:space="preserve">02°50'23" 115°22'51"
</t>
  </si>
  <si>
    <t>Perkuatan tebing di desa Ida Manggala Kec.Sungai Raya</t>
  </si>
  <si>
    <t xml:space="preserve"> 2°51'59.03"S 115°14'9.66"E
</t>
  </si>
  <si>
    <t>Perkuatan Tebing di Desa Lokbinuang Rt.02 Kec. Telaga langsat</t>
  </si>
  <si>
    <t xml:space="preserve">02°43'47" 115°18'49"
</t>
  </si>
  <si>
    <t>Perkuatan Tebing di Desa Lumpangi RT.03 Kec. Loksado</t>
  </si>
  <si>
    <t>Perkuatan Tebing di Desa Mandala Kec. Telaga langsat</t>
  </si>
  <si>
    <t>Perkuatan tebing di desa Simpur Kec.Simpur</t>
  </si>
  <si>
    <t xml:space="preserve">  2°49'1.65"S 115°12'45.68"E
</t>
  </si>
  <si>
    <t>Perkuatan Tebing di Desa Sungai Raya Utara Kec. Sungai Raya</t>
  </si>
  <si>
    <t xml:space="preserve">  2°49'41.36"S115°15'10.47"E
</t>
  </si>
  <si>
    <t>Perkuatan Tebing di Kelurahan jambu hilir Kec. Kandangan</t>
  </si>
  <si>
    <t>Baru Galam</t>
  </si>
  <si>
    <t>Perkuatan tebing di desa Malilingin RT.01 Kec. Padang Batung</t>
  </si>
  <si>
    <t xml:space="preserve">02°51'47.65" 115°19'1.68"
</t>
  </si>
  <si>
    <t>Perkuatan Tebing Desa Malinau Kec. Loksado</t>
  </si>
  <si>
    <t>Perkuatan tebing di Kelurahan Kandangan kota RT.05 Kec.Kandangan</t>
  </si>
  <si>
    <t>Perkuatan Tebing di Desa Telaga langsat Rt.02 Kec. Telaga langsat</t>
  </si>
  <si>
    <t>Perkuatan tebing di Desa Pandulangan Kec.Padang batung</t>
  </si>
  <si>
    <t xml:space="preserve">02°45'49.88" 115°18'54.80"
</t>
  </si>
  <si>
    <t>B</t>
  </si>
  <si>
    <t>Normalisasi/Restorasi Sungai</t>
  </si>
  <si>
    <t>Normalisasi Sungai Begandi di Desa Baruh Jaya, Kec. Daha Selatan</t>
  </si>
  <si>
    <t>2°37'33,919" S 115°4'41,728" E</t>
  </si>
  <si>
    <t>Normalisasi Sungai Bising Desa Kapuh Kec. Simpur</t>
  </si>
  <si>
    <t>02°49'2.00"S115°14'3.55"E</t>
  </si>
  <si>
    <t>Sarang halang sungai raya</t>
  </si>
  <si>
    <t>Normalisasi Sungai Desa Bangkau Kec.Kandangan</t>
  </si>
  <si>
    <t>2°41'26,3456" S 115°11'34,3010" E</t>
  </si>
  <si>
    <t>Normalisasi Sungai Desa Hakurung Kec. Daha Utara</t>
  </si>
  <si>
    <t>2°33'30,1241" S 115°07'16,1214" E</t>
  </si>
  <si>
    <t>Normalisasi Sungai Desa Hamayung RT.002, Kec. Daha Utara</t>
  </si>
  <si>
    <t>2°34'50,821" S 115°7'18,204" E</t>
  </si>
  <si>
    <t>Normalisasi Sungai Desa Muning Dalam, Kec. Daha Selatan</t>
  </si>
  <si>
    <t>2°42'40,3059" S 115°05'47,9875" E</t>
  </si>
  <si>
    <t>Muning Tengah</t>
  </si>
  <si>
    <t>Normalisasi Sungai Desa Paharangan RT.02 Kec. Daha Utara</t>
  </si>
  <si>
    <t>2°36'13,8505" S 115°07'13,2982" E</t>
  </si>
  <si>
    <t>Teluk Labak</t>
  </si>
  <si>
    <t>Normalisasi Sungai Desa Pandak Daun, Kec. Daha Utara</t>
  </si>
  <si>
    <t xml:space="preserve">2°35'54,233" S 115°6'2,813" E </t>
  </si>
  <si>
    <t>Normalisasi Sungai Desa Teluk Haur Kec. Daha Utara</t>
  </si>
  <si>
    <t>2°36'42,281" S 115°6'33,593" E</t>
  </si>
  <si>
    <t>Normalisasi Sungai di Desa Amawang Kanan, Kec. Kandangan</t>
  </si>
  <si>
    <t>02°47'21.70"S 115°14'29.00"E</t>
  </si>
  <si>
    <t>Normalisasi Sungai di Desa Amparaya Kec.Simpur</t>
  </si>
  <si>
    <t>02°47'58.23"S115°10'53.21"E</t>
  </si>
  <si>
    <t>Garunggang</t>
  </si>
  <si>
    <t>Normalisasi Sungai di Desa Baru Kec. Daha Barat</t>
  </si>
  <si>
    <t>2°40'25,8656" S 115°02'55,9645" E</t>
  </si>
  <si>
    <t>Normalisasi Sungai di Desa Muning Baru Kec. Daha Selatan</t>
  </si>
  <si>
    <t>2°39'20,9799" S 115°09'18,3459" E</t>
  </si>
  <si>
    <t>Normalisasi Sungai di Desa Murung Raya Kec. Daha Utara</t>
  </si>
  <si>
    <t xml:space="preserve">2°36'48" S 115°7'13,866" E </t>
  </si>
  <si>
    <t>Normalisasi Sungai di Desa Sungai Kupang Kec. Kandangan</t>
  </si>
  <si>
    <t>02°44'11.80"S 115°13'41.30"E</t>
  </si>
  <si>
    <t>Normalisasi Sungai di Desa Wasah Tengah Kec. Simpur</t>
  </si>
  <si>
    <t>02°48'4.89"S115°13'35.23"E</t>
  </si>
  <si>
    <t>Normalisasi Sungai di sekitar Kec. Kalumpang</t>
  </si>
  <si>
    <t>Pariwisata</t>
  </si>
  <si>
    <t>2°49'38,6723" S 115°09'09,2260" E</t>
  </si>
  <si>
    <t>Normalisasi Sungai Es Lilin Desa Bayanan Kec.Daha Selatan</t>
  </si>
  <si>
    <t>2°37'53,1724" S 115°06'33,1825" E</t>
  </si>
  <si>
    <t>Normalisasi Sungai Garunggang Kec. Simpur</t>
  </si>
  <si>
    <t>02°48'20.69"S115°11'23.38"E</t>
  </si>
  <si>
    <t>Normalisasi Sungai Hanyar Desa Kalumpang, Kec. Kalumpang</t>
  </si>
  <si>
    <t>02°49'52.93"S115° 9'12.68"E</t>
  </si>
  <si>
    <t>Normalisasi Sungai Jarau Desa Karangpaci, Kec. Kalumpang</t>
  </si>
  <si>
    <t>02°49'53.11"S115° 7'41.55"E</t>
  </si>
  <si>
    <t>Normalisasi Sungai Kasa Desa Sirih Kec. Kalumpang</t>
  </si>
  <si>
    <t>02°49'50.60"S115°10'45.20"E</t>
  </si>
  <si>
    <t>Normalisasi Sungai Ray Damar Desa Pantai Ulin Kec.Simpur</t>
  </si>
  <si>
    <t>02°46'12.89"S115°11'34.56"E</t>
  </si>
  <si>
    <t>Normalisasi Sungai Bacagat Desa Sungai Kupang Kec. Kandangan</t>
  </si>
  <si>
    <t xml:space="preserve">02°43'14.3" 115°12'56.5"
</t>
  </si>
  <si>
    <t>Normalisasi Sungai di sekitar Kec.Sungai raya</t>
  </si>
  <si>
    <t>Normalisasi Sungai Madihin Desa Kayu Abang Kec. Angkinang</t>
  </si>
  <si>
    <t>Kahar</t>
  </si>
  <si>
    <t xml:space="preserve">S2°42'02,4444" E115°14'29.7096"
</t>
  </si>
  <si>
    <t>Normalisasi Sungai di Desa Lungau Kec. Kandangan</t>
  </si>
  <si>
    <t xml:space="preserve">02°43'13.4" 115°11'57.5"
</t>
  </si>
  <si>
    <t>Normalisasi Sungai di Desa bajayau lama Kec. Daha barat</t>
  </si>
  <si>
    <t xml:space="preserve">S2°43'22,5372" E114°59'36,0204"
</t>
  </si>
  <si>
    <t>Normalisasi Sungai di Desa Balanti Kec. Kalumpang</t>
  </si>
  <si>
    <t xml:space="preserve">  2°48'32.97"S115° 9'3.54"E
</t>
  </si>
  <si>
    <t>Normalisasi Sungai wakaf desa Hakurung Rt.02 Kec. Daha utara</t>
  </si>
  <si>
    <t xml:space="preserve">S2°33'16,9992" E115°06'19,6092"
</t>
  </si>
  <si>
    <t>Normalisasi Sungai di Desa Sirih Hulu Kec. Kalumpang</t>
  </si>
  <si>
    <t xml:space="preserve">02°49'48.80" 115°10'46.10"
</t>
  </si>
  <si>
    <t>Normalisasi sungai kurdi RT.01 Desa Bangkau Kec.Kandangan</t>
  </si>
  <si>
    <t xml:space="preserve">S2°41'49.0326" E115°11'40.5488"
</t>
  </si>
  <si>
    <t>Normalisasi Sungai Bahalayung rt.04 Desa Bangkau Kec.Kandangan</t>
  </si>
  <si>
    <t xml:space="preserve">S2°41'38.5753" E115°10'40.3179"
</t>
  </si>
  <si>
    <t>Pariwisata (Sungai Hanyar, Sungai sekitar kalumpang dan sungai wakaf)</t>
  </si>
  <si>
    <t>C</t>
  </si>
  <si>
    <t>Operasi dan Pemeliharaan Sungai</t>
  </si>
  <si>
    <t>Pembersihan Raba/Sampah di Sungai Kec. Kandangan</t>
  </si>
  <si>
    <t>02°41'26"S 115°12'42"E</t>
  </si>
  <si>
    <t>Pembersihan Raba/Sampah di Sungai Kec. Angkinang</t>
  </si>
  <si>
    <t>2,720380S 115,231410E</t>
  </si>
  <si>
    <t>Pembersihan Raba/Sampah di Sungai Kec. Kalumpang</t>
  </si>
  <si>
    <t>02°49'30"S 115°8'10"E</t>
  </si>
  <si>
    <t>I.B</t>
  </si>
  <si>
    <t>Pengembangan dan Pengelolaan Sistem Irigasi Primer dan Sekunder pada Daerah Irigasi yang Luasnya di Bawah 1000 Ha dalam 1 (Satu) Daerah Kabupaten/Kota</t>
  </si>
  <si>
    <t>Pembangunan Jaringan Irigasi Permukaan</t>
  </si>
  <si>
    <t>Pembangunan Jembatan pelayanan di sekitar jaringan irigasi DI.Gumbil Kec.Telaga langsat (lanjutan)</t>
  </si>
  <si>
    <t>Gumbil</t>
  </si>
  <si>
    <t>Pembangunan Saluran tersier di desa Sungai Raya utara Kec. Sungai raya</t>
  </si>
  <si>
    <t>02°49'57.49"S115°15'12.17"E</t>
  </si>
  <si>
    <t>Tanjungan</t>
  </si>
  <si>
    <t>Pembangunan Saluran Tersier Desa Lokbinuang Kec. Telaga langsat</t>
  </si>
  <si>
    <t>Pembangunan Saluran Tersier Desa Padang batung Kec. Padang batung</t>
  </si>
  <si>
    <t xml:space="preserve">02°49'14" 115°18'12"
</t>
  </si>
  <si>
    <t>Pembangunan Saluran Tersier Desa Tabihi (DI.Kambas) Kec. Padang batung</t>
  </si>
  <si>
    <t xml:space="preserve">02°46'6.54" 115°17'7.76"
</t>
  </si>
  <si>
    <t>Pembangunan Bendung Irigasi (BENDUNG)</t>
  </si>
  <si>
    <t>Pembangunan Daerah Irigasi Pembahanan Desa Sirih hulu Kec. Kalumpang</t>
  </si>
  <si>
    <t>02°50'17.22"S115°11'5.89"E</t>
  </si>
  <si>
    <t>Sirih Hulu</t>
  </si>
  <si>
    <t>Peningkatan Jaringan Irigasi Permukaan</t>
  </si>
  <si>
    <t>Peningkatan jaringan irigasi DI.Kupang Kec.Kandangan</t>
  </si>
  <si>
    <t>2.72724608S 115.2196091E</t>
  </si>
  <si>
    <t>Kupang</t>
  </si>
  <si>
    <t>D</t>
  </si>
  <si>
    <t xml:space="preserve">Rehabilitasi Jaringan Irigasi Permukaan </t>
  </si>
  <si>
    <t>Rehabilitasi jaringan irigasi DI.Tayub Kec.Telaga langsat</t>
  </si>
  <si>
    <t>2.7644S 115.3222E</t>
  </si>
  <si>
    <t>Rehabilitasi jaringan irigasi DI.Kuangan Kec.Padang batung</t>
  </si>
  <si>
    <t>02°48'24"S 115°18'4"E</t>
  </si>
  <si>
    <t>Rehabilitasi jaringan irigasi DI.Pakuan Timur III Kec.Telaga langsat</t>
  </si>
  <si>
    <t>2.7102S 115.3084E</t>
  </si>
  <si>
    <t>Rehabilitasi jaringan irigasi DI.Durari I Kec.Telaga langsat</t>
  </si>
  <si>
    <t>2,7247S 115.3155E</t>
  </si>
  <si>
    <t>Rehabilitasi jaringan irigasi DI.Libak I Kec.Telaga langsat</t>
  </si>
  <si>
    <t>2.7411S 115.3143E</t>
  </si>
  <si>
    <t>Rehabilitasi jaringan irigasi DI.Luaw Kec.Padang batung</t>
  </si>
  <si>
    <t>02°46'17"S 115°18'19"E</t>
  </si>
  <si>
    <t>E</t>
  </si>
  <si>
    <t>Rehabilitasi Bendung Irigasi (BENDUNG)</t>
  </si>
  <si>
    <t>Rehabilitasi jaringan irigasi DI.Lokdalam Kec.Angkinang</t>
  </si>
  <si>
    <t xml:space="preserve">2˚43'31.64''S  115˚17'34.28''E
</t>
  </si>
  <si>
    <t>Angkinang</t>
  </si>
  <si>
    <t>Rehabilitasi jaringan irigasi DI.Jarau I Kec.Sungai raya</t>
  </si>
  <si>
    <t xml:space="preserve">2˚51'46.69''S  115˚13'22.45''E
</t>
  </si>
  <si>
    <t>Jarau</t>
  </si>
  <si>
    <t>2˚51'46.30''S  115˚13'14.33''E</t>
  </si>
  <si>
    <t>F</t>
  </si>
  <si>
    <t>Operasi dan Pemeliharaan Jaringan Irigasi Permukaan</t>
  </si>
  <si>
    <t>G</t>
  </si>
  <si>
    <t>Operasi dan Pemeliharaan Jaringan Irigasi Rawa</t>
  </si>
  <si>
    <t>H</t>
  </si>
  <si>
    <t>SUB KEGIATAN</t>
  </si>
  <si>
    <t xml:space="preserve">TARGET KEUANGAN DAN FISIK </t>
  </si>
  <si>
    <t>TOTAL REALISASI KEUANGAN DAN FISIK (%)</t>
  </si>
  <si>
    <t>TOTAL AKHIR (Hingga Desember)</t>
  </si>
  <si>
    <t>PERMASALAHAN</t>
  </si>
  <si>
    <t>TINDAK LANJUT</t>
  </si>
  <si>
    <t>SELISIH</t>
  </si>
  <si>
    <t>Rp</t>
  </si>
  <si>
    <t>Target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</si>
  <si>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</si>
  <si>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</si>
  <si>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</si>
  <si>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</si>
  <si>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</si>
  <si>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</si>
  <si>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</si>
  <si>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</si>
  <si>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</si>
  <si>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</si>
  <si>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</si>
  <si>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</si>
  <si>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%</t>
  </si>
  <si>
    <t>Fisik (%)</t>
  </si>
  <si>
    <t>Fisik (m/bdg/dok/org)</t>
  </si>
  <si>
    <t>PROGRAM SUMBER DAYA AIR</t>
  </si>
  <si>
    <t>Menunjang wisata religi makan datu akhmad balimau</t>
  </si>
  <si>
    <t>Sungai Hanyar dan Sungai Sekitar Kalumpang</t>
  </si>
  <si>
    <t>Dari 35 Paket Fisik (19 Paket APBD dan 16 Paket APBD-P) 35 Paket sudah serah terima pekerjaan 100%.</t>
  </si>
  <si>
    <t>-</t>
  </si>
  <si>
    <t>Dari 33 Paket Fisik (23 Paket APBD dan 10 APBD-P) 32 Paket sudah serah terima pekerjaan 100% dan 1 Paket APBD-P terjadi Kahar sehingga pekerjaan dihentikan.</t>
  </si>
  <si>
    <t>Dilakukan penghentian Kontrak Fisik</t>
  </si>
  <si>
    <t>Dari 3 paket Pemeliharaan (3 Paket APBD) Semua sudah serah terima pekerjaan 100%</t>
  </si>
  <si>
    <t>Pembinaan dan Pemberdayaan Kelembagaan Pengelolaan SDA Kewenangan Kabupaten/Kota</t>
  </si>
  <si>
    <t>Semua Kegiatan Pembinaan P3A maupun Sidang KOMIR (Komisi Irigasi) telah dilaksanakan sesuai jadwal sehingga realisasi mencapai target; Sidang Komisi Irigasi hanya dapat dilaksanakan 1 Kali mengakibatkan Realisasi Keuangan tidak mencapai 100%</t>
  </si>
  <si>
    <t>I.b</t>
  </si>
  <si>
    <t>Penyusunan Rencana Teknis dan Dokumen Lingkungan Hidup untuk Konstruksi Irigasi dan Rawa</t>
  </si>
  <si>
    <t>Dari 8 Paket Perencanaan (3 Paket APBD dan 5 Paket APBD-P) Sudah serah terima pekerjaan 100%.</t>
  </si>
  <si>
    <t>Dari 5 Paket Fisik (2 Paket APBD dan 3 Paket APBD-P) 4 Paket sudah serah terima pekerjaan 100% dan 1 Paket APBD-P terjadi Kahar sehingga pekerjaan dihentikan.</t>
  </si>
  <si>
    <t>Pembangunan Bendung Irigasi</t>
  </si>
  <si>
    <t>Dari 1 Paket Fisik (1 Paket APBD) Sudah serah terima pekerjaan 100%</t>
  </si>
  <si>
    <t>Rehabilitasi Jaringan irigasi permukaan</t>
  </si>
  <si>
    <t>Dari 6 Paket Fisik (6 Paket APBD) Semua sudah serah terima pekerjaan 100%</t>
  </si>
  <si>
    <t>Rehabilitasi Bendung Irigasi</t>
  </si>
  <si>
    <t>Dari 2 Paket Fisik (2 Paket APBD) Semua sudah serah terima pekerjaan 100%</t>
  </si>
  <si>
    <t>Dari 9 Paket Pemeliharaan (6 Paket APBD dan 3 Paket APBD-P) Semua sudah serah terima pekerjaan 100%</t>
  </si>
  <si>
    <t>Dari 2 Paket Pemeliharaan (2 Paket APBD) Semua sudah serah terima pekerjaan 100%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</si>
</sst>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Rp-421]#,##0.00"/>
    <numFmt numFmtId="165" formatCode="&quot;Rp&quot;#,##0.00"/>
    <numFmt numFmtId="166" formatCode="&quot;Rp&quot;#,##0"/>
    <numFmt numFmtId="167" formatCode="_-[$Rp-421]* #,##0.00_-;_-[$Rp-421]* \-#,##0.00_-;_-[$Rp-421]* &quot;-&quot;??_-;_-@"/>
  </numFmts>
  <fonts count="13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2"/>
      <color theme="1"/>
      <name val="Arial"/>
      <scheme val="minor"/>
    </font>
    <font>
      <u/>
      <sz val="10"/>
      <color theme="1"/>
      <name val="Arial"/>
      <scheme val="minor"/>
    </font>
    <font>
      <b/>
      <sz val="16"/>
      <color theme="1"/>
      <name val="Calibri"/>
    </font>
    <font>
      <sz val="10"/>
      <color theme="1"/>
      <name val="Arial"/>
    </font>
    <font>
      <b/>
      <sz val="11"/>
      <color theme="1"/>
      <name val="Calibri"/>
    </font>
    <font>
      <sz val="10"/>
      <name val="Arial"/>
    </font>
    <font>
      <sz val="11"/>
      <color theme="1"/>
      <name val="Calibri"/>
    </font>
    <font>
      <sz val="11"/>
      <color rgb="FF000000"/>
      <name val="Calibri"/>
    </font>
    <font>
      <sz val="11"/>
      <color rgb="FFFF0000"/>
      <name val="Calibri"/>
    </font>
    <font>
      <sz val="9"/>
      <color rgb="FF1F1F1F"/>
      <name val="Arial"/>
    </font>
    <font>
      <sz val="10"/>
      <color rgb="FF3266D5"/>
      <name val="Inconsolata"/>
    </font>
  </fonts>
  <fills count="12">
    <fill>
      <patternFill patternType="none"/>
    </fill>
    <fill>
      <patternFill patternType="gray125"/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</borders>
  <cellStyleXfs count="1">
    <xf numFmtId="0" fontId="0" fillId="0" borderId="0"/>
  </cellStyleXfs>
  <cellXfs count="215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2" xfId="0" applyFont="1" applyFill="1" applyBorder="1"/>
    <xf numFmtId="0" fontId="7" fillId="0" borderId="2" xfId="0" applyFont="1" applyBorder="1"/>
    <xf numFmtId="0" fontId="7" fillId="0" borderId="9" xfId="0" applyFont="1" applyBorder="1"/>
    <xf numFmtId="0" fontId="8" fillId="3" borderId="13" xfId="0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vertical="center"/>
    </xf>
    <xf numFmtId="0" fontId="7" fillId="0" borderId="14" xfId="0" applyFont="1" applyBorder="1"/>
    <xf numFmtId="0" fontId="6" fillId="3" borderId="13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2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vertical="center" wrapText="1"/>
    </xf>
    <xf numFmtId="0" fontId="6" fillId="6" borderId="12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vertical="center"/>
    </xf>
    <xf numFmtId="0" fontId="6" fillId="6" borderId="13" xfId="0" applyFont="1" applyFill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0" fontId="9" fillId="4" borderId="13" xfId="0" applyFont="1" applyFill="1" applyBorder="1" applyAlignment="1">
      <alignment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7" borderId="13" xfId="0" applyFont="1" applyFill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0" xfId="0" applyFont="1"/>
    <xf numFmtId="0" fontId="1" fillId="8" borderId="13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8" fillId="4" borderId="3" xfId="0" applyFont="1" applyFill="1" applyBorder="1" applyAlignment="1">
      <alignment wrapText="1"/>
    </xf>
    <xf numFmtId="0" fontId="1" fillId="7" borderId="9" xfId="0" applyFont="1" applyFill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8" borderId="8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wrapText="1"/>
    </xf>
    <xf numFmtId="0" fontId="6" fillId="0" borderId="8" xfId="0" applyFont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left" vertical="center" wrapText="1"/>
    </xf>
    <xf numFmtId="10" fontId="6" fillId="7" borderId="9" xfId="0" applyNumberFormat="1" applyFont="1" applyFill="1" applyBorder="1" applyAlignment="1">
      <alignment vertical="center"/>
    </xf>
    <xf numFmtId="0" fontId="6" fillId="7" borderId="9" xfId="0" applyFont="1" applyFill="1" applyBorder="1" applyAlignment="1">
      <alignment vertical="center"/>
    </xf>
    <xf numFmtId="10" fontId="6" fillId="0" borderId="9" xfId="0" applyNumberFormat="1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10" fontId="6" fillId="4" borderId="9" xfId="0" applyNumberFormat="1" applyFont="1" applyFill="1" applyBorder="1" applyAlignment="1">
      <alignment vertical="center"/>
    </xf>
    <xf numFmtId="0" fontId="6" fillId="4" borderId="9" xfId="0" applyFont="1" applyFill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6" borderId="13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3" fontId="1" fillId="0" borderId="13" xfId="0" applyNumberFormat="1" applyFont="1" applyBorder="1" applyAlignment="1">
      <alignment vertical="center"/>
    </xf>
    <xf numFmtId="3" fontId="1" fillId="0" borderId="13" xfId="0" applyNumberFormat="1" applyFont="1" applyBorder="1" applyAlignment="1">
      <alignment horizontal="center" vertical="center"/>
    </xf>
    <xf numFmtId="0" fontId="8" fillId="4" borderId="9" xfId="0" applyFont="1" applyFill="1" applyBorder="1" applyAlignment="1">
      <alignment wrapText="1"/>
    </xf>
    <xf numFmtId="0" fontId="8" fillId="9" borderId="9" xfId="0" applyFont="1" applyFill="1" applyBorder="1" applyAlignment="1">
      <alignment wrapText="1"/>
    </xf>
    <xf numFmtId="0" fontId="1" fillId="9" borderId="9" xfId="0" applyFont="1" applyFill="1" applyBorder="1" applyAlignment="1">
      <alignment vertical="center"/>
    </xf>
    <xf numFmtId="0" fontId="1" fillId="9" borderId="9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4" fontId="6" fillId="7" borderId="9" xfId="0" applyNumberFormat="1" applyFont="1" applyFill="1" applyBorder="1" applyAlignment="1">
      <alignment vertical="center"/>
    </xf>
    <xf numFmtId="4" fontId="6" fillId="0" borderId="9" xfId="0" applyNumberFormat="1" applyFont="1" applyBorder="1" applyAlignment="1">
      <alignment vertical="center"/>
    </xf>
    <xf numFmtId="0" fontId="10" fillId="0" borderId="15" xfId="0" applyFont="1" applyBorder="1" applyAlignment="1">
      <alignment horizontal="center" vertical="center"/>
    </xf>
    <xf numFmtId="4" fontId="6" fillId="4" borderId="9" xfId="0" applyNumberFormat="1" applyFont="1" applyFill="1" applyBorder="1" applyAlignment="1">
      <alignment vertical="center"/>
    </xf>
    <xf numFmtId="4" fontId="1" fillId="0" borderId="0" xfId="0" applyNumberFormat="1" applyFont="1" applyAlignment="1">
      <alignment vertical="center"/>
    </xf>
    <xf numFmtId="0" fontId="9" fillId="4" borderId="5" xfId="0" applyFont="1" applyFill="1" applyBorder="1" applyAlignment="1">
      <alignment vertical="center" wrapText="1"/>
    </xf>
    <xf numFmtId="0" fontId="11" fillId="3" borderId="0" xfId="0" applyFont="1" applyFill="1"/>
    <xf numFmtId="0" fontId="9" fillId="4" borderId="13" xfId="0" applyFont="1" applyFill="1" applyBorder="1" applyAlignment="1">
      <alignment wrapText="1"/>
    </xf>
    <xf numFmtId="164" fontId="8" fillId="4" borderId="13" xfId="0" applyNumberFormat="1" applyFont="1" applyFill="1" applyBorder="1" applyAlignment="1">
      <alignment wrapText="1"/>
    </xf>
    <xf numFmtId="2" fontId="1" fillId="0" borderId="9" xfId="0" applyNumberFormat="1" applyFont="1" applyBorder="1" applyAlignment="1">
      <alignment vertical="center"/>
    </xf>
    <xf numFmtId="164" fontId="8" fillId="9" borderId="13" xfId="0" applyNumberFormat="1" applyFont="1" applyFill="1" applyBorder="1" applyAlignment="1">
      <alignment wrapText="1"/>
    </xf>
    <xf numFmtId="4" fontId="1" fillId="0" borderId="13" xfId="0" applyNumberFormat="1" applyFont="1" applyBorder="1" applyAlignment="1">
      <alignment horizontal="center" vertical="center"/>
    </xf>
    <xf numFmtId="10" fontId="1" fillId="0" borderId="0" xfId="0" applyNumberFormat="1" applyFont="1"/>
    <xf numFmtId="0" fontId="1" fillId="0" borderId="0" xfId="0" applyFont="1" applyAlignment="1">
      <alignment vertical="center" wrapText="1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/>
    <xf numFmtId="164" fontId="1" fillId="0" borderId="0" xfId="0" applyNumberFormat="1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165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 wrapText="1"/>
    </xf>
    <xf numFmtId="165" fontId="5" fillId="10" borderId="0" xfId="0" applyNumberFormat="1" applyFont="1" applyFill="1" applyAlignment="1">
      <alignment horizontal="center" wrapText="1"/>
    </xf>
    <xf numFmtId="0" fontId="5" fillId="10" borderId="0" xfId="0" applyFont="1" applyFill="1" applyAlignment="1">
      <alignment horizontal="center" wrapText="1"/>
    </xf>
    <xf numFmtId="0" fontId="8" fillId="8" borderId="16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/>
    </xf>
    <xf numFmtId="0" fontId="8" fillId="8" borderId="16" xfId="0" applyFont="1" applyFill="1" applyBorder="1" applyAlignment="1">
      <alignment horizontal="center" vertical="center"/>
    </xf>
    <xf numFmtId="164" fontId="8" fillId="8" borderId="16" xfId="0" applyNumberFormat="1" applyFont="1" applyFill="1" applyBorder="1" applyAlignment="1">
      <alignment horizontal="center" vertical="center"/>
    </xf>
    <xf numFmtId="0" fontId="8" fillId="8" borderId="21" xfId="0" applyFont="1" applyFill="1" applyBorder="1" applyAlignment="1">
      <alignment horizontal="center"/>
    </xf>
    <xf numFmtId="164" fontId="8" fillId="8" borderId="21" xfId="0" applyNumberFormat="1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vertical="center" wrapText="1"/>
    </xf>
    <xf numFmtId="3" fontId="6" fillId="10" borderId="13" xfId="0" applyNumberFormat="1" applyFont="1" applyFill="1" applyBorder="1" applyAlignment="1">
      <alignment horizontal="center" vertical="center" wrapText="1"/>
    </xf>
    <xf numFmtId="0" fontId="6" fillId="10" borderId="13" xfId="0" applyFont="1" applyFill="1" applyBorder="1" applyAlignment="1">
      <alignment horizontal="center" vertical="center" wrapText="1"/>
    </xf>
    <xf numFmtId="3" fontId="6" fillId="10" borderId="22" xfId="0" applyNumberFormat="1" applyFont="1" applyFill="1" applyBorder="1" applyAlignment="1">
      <alignment horizontal="center" wrapText="1"/>
    </xf>
    <xf numFmtId="10" fontId="6" fillId="10" borderId="22" xfId="0" applyNumberFormat="1" applyFont="1" applyFill="1" applyBorder="1" applyAlignment="1">
      <alignment horizontal="center" wrapText="1"/>
    </xf>
    <xf numFmtId="0" fontId="5" fillId="10" borderId="22" xfId="0" applyFont="1" applyFill="1" applyBorder="1"/>
    <xf numFmtId="10" fontId="5" fillId="10" borderId="23" xfId="0" applyNumberFormat="1" applyFont="1" applyFill="1" applyBorder="1"/>
    <xf numFmtId="3" fontId="6" fillId="10" borderId="22" xfId="0" applyNumberFormat="1" applyFont="1" applyFill="1" applyBorder="1" applyAlignment="1">
      <alignment horizontal="center" vertical="center" wrapText="1"/>
    </xf>
    <xf numFmtId="10" fontId="6" fillId="10" borderId="22" xfId="0" applyNumberFormat="1" applyFont="1" applyFill="1" applyBorder="1" applyAlignment="1">
      <alignment horizontal="center" vertical="center" wrapText="1"/>
    </xf>
    <xf numFmtId="0" fontId="5" fillId="10" borderId="22" xfId="0" applyFont="1" applyFill="1" applyBorder="1" applyAlignment="1">
      <alignment horizontal="center" vertical="center"/>
    </xf>
    <xf numFmtId="164" fontId="6" fillId="10" borderId="22" xfId="0" applyNumberFormat="1" applyFont="1" applyFill="1" applyBorder="1" applyAlignment="1">
      <alignment horizontal="center" vertical="center" wrapText="1"/>
    </xf>
    <xf numFmtId="10" fontId="6" fillId="4" borderId="22" xfId="0" applyNumberFormat="1" applyFont="1" applyFill="1" applyBorder="1" applyAlignment="1">
      <alignment horizontal="center" vertical="center" wrapText="1"/>
    </xf>
    <xf numFmtId="0" fontId="5" fillId="10" borderId="13" xfId="0" applyFont="1" applyFill="1" applyBorder="1" applyAlignment="1">
      <alignment horizontal="center" vertical="top" wrapText="1"/>
    </xf>
    <xf numFmtId="3" fontId="5" fillId="10" borderId="13" xfId="0" applyNumberFormat="1" applyFont="1" applyFill="1" applyBorder="1" applyAlignment="1">
      <alignment horizontal="center" vertical="center"/>
    </xf>
    <xf numFmtId="3" fontId="5" fillId="10" borderId="0" xfId="0" applyNumberFormat="1" applyFont="1" applyFill="1"/>
    <xf numFmtId="3" fontId="6" fillId="10" borderId="12" xfId="0" applyNumberFormat="1" applyFont="1" applyFill="1" applyBorder="1" applyAlignment="1">
      <alignment horizontal="center" wrapText="1"/>
    </xf>
    <xf numFmtId="10" fontId="6" fillId="10" borderId="9" xfId="0" applyNumberFormat="1" applyFont="1" applyFill="1" applyBorder="1" applyAlignment="1">
      <alignment horizontal="center" wrapText="1"/>
    </xf>
    <xf numFmtId="3" fontId="6" fillId="10" borderId="9" xfId="0" applyNumberFormat="1" applyFont="1" applyFill="1" applyBorder="1" applyAlignment="1">
      <alignment horizontal="center" wrapText="1"/>
    </xf>
    <xf numFmtId="3" fontId="6" fillId="10" borderId="12" xfId="0" applyNumberFormat="1" applyFont="1" applyFill="1" applyBorder="1" applyAlignment="1">
      <alignment horizontal="center" vertical="center" wrapText="1"/>
    </xf>
    <xf numFmtId="10" fontId="6" fillId="10" borderId="9" xfId="0" applyNumberFormat="1" applyFont="1" applyFill="1" applyBorder="1" applyAlignment="1">
      <alignment horizontal="center" vertical="center" wrapText="1"/>
    </xf>
    <xf numFmtId="3" fontId="6" fillId="10" borderId="9" xfId="0" applyNumberFormat="1" applyFont="1" applyFill="1" applyBorder="1" applyAlignment="1">
      <alignment horizontal="center" vertical="center" wrapText="1"/>
    </xf>
    <xf numFmtId="164" fontId="6" fillId="10" borderId="12" xfId="0" applyNumberFormat="1" applyFont="1" applyFill="1" applyBorder="1" applyAlignment="1">
      <alignment horizontal="center" vertical="center" wrapText="1"/>
    </xf>
    <xf numFmtId="3" fontId="6" fillId="10" borderId="0" xfId="0" applyNumberFormat="1" applyFont="1" applyFill="1" applyAlignment="1">
      <alignment horizontal="center" wrapText="1"/>
    </xf>
    <xf numFmtId="4" fontId="6" fillId="10" borderId="9" xfId="0" applyNumberFormat="1" applyFont="1" applyFill="1" applyBorder="1" applyAlignment="1">
      <alignment horizontal="center" wrapText="1"/>
    </xf>
    <xf numFmtId="4" fontId="6" fillId="10" borderId="9" xfId="0" applyNumberFormat="1" applyFont="1" applyFill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3" fontId="8" fillId="0" borderId="13" xfId="0" applyNumberFormat="1" applyFont="1" applyBorder="1" applyAlignment="1">
      <alignment horizontal="center" vertical="center"/>
    </xf>
    <xf numFmtId="3" fontId="8" fillId="11" borderId="13" xfId="0" applyNumberFormat="1" applyFont="1" applyFill="1" applyBorder="1" applyAlignment="1">
      <alignment horizontal="center" vertical="center"/>
    </xf>
    <xf numFmtId="0" fontId="1" fillId="0" borderId="13" xfId="0" applyFont="1" applyBorder="1"/>
    <xf numFmtId="10" fontId="1" fillId="0" borderId="12" xfId="0" applyNumberFormat="1" applyFont="1" applyBorder="1" applyAlignment="1">
      <alignment horizontal="center" vertical="center"/>
    </xf>
    <xf numFmtId="10" fontId="1" fillId="0" borderId="13" xfId="0" applyNumberFormat="1" applyFont="1" applyBorder="1"/>
    <xf numFmtId="10" fontId="1" fillId="0" borderId="24" xfId="0" applyNumberFormat="1" applyFont="1" applyBorder="1" applyAlignment="1">
      <alignment horizontal="center" vertical="center"/>
    </xf>
    <xf numFmtId="10" fontId="9" fillId="0" borderId="12" xfId="0" applyNumberFormat="1" applyFont="1" applyBorder="1" applyAlignment="1">
      <alignment horizontal="center" vertical="center"/>
    </xf>
    <xf numFmtId="10" fontId="1" fillId="0" borderId="13" xfId="0" applyNumberFormat="1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4" fontId="1" fillId="0" borderId="13" xfId="0" applyNumberFormat="1" applyFont="1" applyBorder="1"/>
    <xf numFmtId="3" fontId="1" fillId="0" borderId="13" xfId="0" applyNumberFormat="1" applyFont="1" applyBorder="1"/>
    <xf numFmtId="165" fontId="1" fillId="0" borderId="13" xfId="0" applyNumberFormat="1" applyFont="1" applyBorder="1" applyAlignment="1">
      <alignment vertical="center"/>
    </xf>
    <xf numFmtId="164" fontId="1" fillId="0" borderId="13" xfId="0" applyNumberFormat="1" applyFont="1" applyBorder="1" applyAlignment="1">
      <alignment vertical="center"/>
    </xf>
    <xf numFmtId="3" fontId="6" fillId="6" borderId="12" xfId="0" applyNumberFormat="1" applyFont="1" applyFill="1" applyBorder="1" applyAlignment="1">
      <alignment horizontal="center" vertical="center" wrapText="1"/>
    </xf>
    <xf numFmtId="10" fontId="9" fillId="6" borderId="12" xfId="0" applyNumberFormat="1" applyFont="1" applyFill="1" applyBorder="1" applyAlignment="1">
      <alignment horizontal="center" vertical="center"/>
    </xf>
    <xf numFmtId="10" fontId="1" fillId="6" borderId="13" xfId="0" applyNumberFormat="1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10" fontId="1" fillId="6" borderId="24" xfId="0" applyNumberFormat="1" applyFont="1" applyFill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 wrapText="1"/>
    </xf>
    <xf numFmtId="165" fontId="1" fillId="0" borderId="0" xfId="0" applyNumberFormat="1" applyFont="1"/>
    <xf numFmtId="165" fontId="1" fillId="0" borderId="13" xfId="0" applyNumberFormat="1" applyFont="1" applyBorder="1"/>
    <xf numFmtId="4" fontId="1" fillId="6" borderId="13" xfId="0" applyNumberFormat="1" applyFont="1" applyFill="1" applyBorder="1" applyAlignment="1">
      <alignment horizontal="center" vertical="center"/>
    </xf>
    <xf numFmtId="3" fontId="6" fillId="4" borderId="12" xfId="0" applyNumberFormat="1" applyFont="1" applyFill="1" applyBorder="1" applyAlignment="1">
      <alignment horizontal="center" vertical="center" wrapText="1"/>
    </xf>
    <xf numFmtId="10" fontId="9" fillId="4" borderId="12" xfId="0" applyNumberFormat="1" applyFont="1" applyFill="1" applyBorder="1" applyAlignment="1">
      <alignment horizontal="center" vertical="center"/>
    </xf>
    <xf numFmtId="10" fontId="1" fillId="4" borderId="13" xfId="0" applyNumberFormat="1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10" fontId="1" fillId="4" borderId="24" xfId="0" applyNumberFormat="1" applyFont="1" applyFill="1" applyBorder="1" applyAlignment="1">
      <alignment horizontal="center" vertical="center"/>
    </xf>
    <xf numFmtId="164" fontId="1" fillId="0" borderId="0" xfId="0" applyNumberFormat="1" applyFont="1"/>
    <xf numFmtId="0" fontId="8" fillId="11" borderId="1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quotePrefix="1" applyFont="1" applyBorder="1" applyAlignment="1">
      <alignment horizontal="center" vertical="top" wrapText="1"/>
    </xf>
    <xf numFmtId="3" fontId="6" fillId="10" borderId="13" xfId="0" applyNumberFormat="1" applyFont="1" applyFill="1" applyBorder="1" applyAlignment="1">
      <alignment horizontal="center" vertical="center"/>
    </xf>
    <xf numFmtId="1" fontId="6" fillId="10" borderId="13" xfId="0" applyNumberFormat="1" applyFont="1" applyFill="1" applyBorder="1" applyAlignment="1">
      <alignment horizontal="center" vertical="center" wrapText="1"/>
    </xf>
    <xf numFmtId="3" fontId="6" fillId="10" borderId="13" xfId="0" applyNumberFormat="1" applyFont="1" applyFill="1" applyBorder="1" applyAlignment="1">
      <alignment horizontal="center"/>
    </xf>
    <xf numFmtId="10" fontId="6" fillId="10" borderId="25" xfId="0" applyNumberFormat="1" applyFont="1" applyFill="1" applyBorder="1" applyAlignment="1">
      <alignment horizontal="center"/>
    </xf>
    <xf numFmtId="1" fontId="6" fillId="10" borderId="13" xfId="0" applyNumberFormat="1" applyFont="1" applyFill="1" applyBorder="1" applyAlignment="1">
      <alignment horizontal="center" wrapText="1"/>
    </xf>
    <xf numFmtId="10" fontId="6" fillId="10" borderId="25" xfId="0" applyNumberFormat="1" applyFont="1" applyFill="1" applyBorder="1" applyAlignment="1">
      <alignment horizontal="center" vertical="center"/>
    </xf>
    <xf numFmtId="164" fontId="6" fillId="10" borderId="13" xfId="0" applyNumberFormat="1" applyFont="1" applyFill="1" applyBorder="1" applyAlignment="1">
      <alignment horizontal="center" vertical="center"/>
    </xf>
    <xf numFmtId="10" fontId="6" fillId="10" borderId="22" xfId="0" applyNumberFormat="1" applyFont="1" applyFill="1" applyBorder="1" applyAlignment="1">
      <alignment horizontal="center"/>
    </xf>
    <xf numFmtId="0" fontId="6" fillId="10" borderId="13" xfId="0" applyFont="1" applyFill="1" applyBorder="1" applyAlignment="1">
      <alignment horizontal="center" wrapText="1"/>
    </xf>
    <xf numFmtId="10" fontId="6" fillId="10" borderId="22" xfId="0" applyNumberFormat="1" applyFont="1" applyFill="1" applyBorder="1" applyAlignment="1">
      <alignment horizontal="center" vertical="center"/>
    </xf>
    <xf numFmtId="0" fontId="1" fillId="11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top" wrapText="1"/>
    </xf>
    <xf numFmtId="3" fontId="1" fillId="11" borderId="13" xfId="0" applyNumberFormat="1" applyFont="1" applyFill="1" applyBorder="1" applyAlignment="1">
      <alignment horizontal="center" vertical="center"/>
    </xf>
    <xf numFmtId="164" fontId="1" fillId="0" borderId="13" xfId="0" applyNumberFormat="1" applyFont="1" applyBorder="1"/>
    <xf numFmtId="166" fontId="1" fillId="0" borderId="13" xfId="0" applyNumberFormat="1" applyFont="1" applyBorder="1"/>
    <xf numFmtId="166" fontId="1" fillId="0" borderId="13" xfId="0" applyNumberFormat="1" applyFont="1" applyBorder="1" applyAlignment="1">
      <alignment vertical="center"/>
    </xf>
    <xf numFmtId="166" fontId="1" fillId="0" borderId="0" xfId="0" applyNumberFormat="1" applyFont="1"/>
    <xf numFmtId="167" fontId="1" fillId="0" borderId="13" xfId="0" applyNumberFormat="1" applyFont="1" applyBorder="1" applyAlignment="1">
      <alignment horizontal="center" vertical="center"/>
    </xf>
    <xf numFmtId="9" fontId="1" fillId="0" borderId="13" xfId="0" applyNumberFormat="1" applyFont="1" applyBorder="1"/>
    <xf numFmtId="9" fontId="1" fillId="4" borderId="13" xfId="0" applyNumberFormat="1" applyFont="1" applyFill="1" applyBorder="1" applyAlignment="1">
      <alignment horizontal="center" vertical="center"/>
    </xf>
    <xf numFmtId="3" fontId="1" fillId="0" borderId="0" xfId="0" applyNumberFormat="1" applyFont="1" applyAlignment="1">
      <alignment vertical="center"/>
    </xf>
    <xf numFmtId="164" fontId="12" fillId="3" borderId="0" xfId="0" applyNumberFormat="1" applyFont="1" applyFill="1"/>
    <xf numFmtId="3" fontId="12" fillId="3" borderId="0" xfId="0" applyNumberFormat="1" applyFont="1" applyFill="1"/>
    <xf numFmtId="165" fontId="1" fillId="0" borderId="0" xfId="0" applyNumberFormat="1" applyFont="1" applyAlignment="1">
      <alignment vertical="center"/>
    </xf>
    <xf numFmtId="165" fontId="8" fillId="6" borderId="13" xfId="0" applyNumberFormat="1" applyFont="1" applyFill="1" applyBorder="1" applyAlignment="1">
      <alignment horizontal="center" vertical="center" wrapText="1"/>
    </xf>
    <xf numFmtId="0" fontId="0" fillId="0" borderId="0" xfId="0"/>
    <xf numFmtId="0" fontId="6" fillId="3" borderId="3" xfId="0" applyFont="1" applyFill="1" applyBorder="1" applyAlignment="1">
      <alignment horizontal="center" vertical="center"/>
    </xf>
    <xf numFmtId="0" fontId="7" fillId="0" borderId="7" xfId="0" applyFont="1" applyBorder="1"/>
    <xf numFmtId="0" fontId="7" fillId="0" borderId="12" xfId="0" applyFont="1" applyBorder="1"/>
    <xf numFmtId="0" fontId="1" fillId="0" borderId="4" xfId="0" applyFont="1" applyBorder="1" applyAlignment="1">
      <alignment horizontal="center" vertical="center"/>
    </xf>
    <xf numFmtId="0" fontId="7" fillId="0" borderId="5" xfId="0" applyFont="1" applyBorder="1"/>
    <xf numFmtId="0" fontId="7" fillId="0" borderId="6" xfId="0" applyFont="1" applyBorder="1"/>
    <xf numFmtId="0" fontId="7" fillId="0" borderId="8" xfId="0" applyFont="1" applyBorder="1"/>
    <xf numFmtId="0" fontId="7" fillId="0" borderId="2" xfId="0" applyFont="1" applyBorder="1"/>
    <xf numFmtId="0" fontId="7" fillId="0" borderId="9" xfId="0" applyFont="1" applyBorder="1"/>
    <xf numFmtId="0" fontId="7" fillId="0" borderId="14" xfId="0" applyFont="1" applyBorder="1"/>
    <xf numFmtId="0" fontId="7" fillId="0" borderId="11" xfId="0" applyFont="1" applyBorder="1"/>
    <xf numFmtId="0" fontId="6" fillId="5" borderId="2" xfId="0" applyFont="1" applyFill="1" applyBorder="1" applyAlignment="1">
      <alignment vertical="center" wrapText="1"/>
    </xf>
    <xf numFmtId="0" fontId="6" fillId="6" borderId="2" xfId="0" applyFont="1" applyFill="1" applyBorder="1" applyAlignment="1">
      <alignment vertical="center"/>
    </xf>
    <xf numFmtId="0" fontId="6" fillId="0" borderId="8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10" borderId="5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11" borderId="18" xfId="0" applyFont="1" applyFill="1" applyBorder="1" applyAlignment="1">
      <alignment horizontal="center" vertical="center" wrapText="1"/>
    </xf>
    <xf numFmtId="0" fontId="7" fillId="0" borderId="19" xfId="0" applyFont="1" applyBorder="1"/>
    <xf numFmtId="0" fontId="6" fillId="5" borderId="3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vertical="center"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/>
    </xf>
    <xf numFmtId="164" fontId="6" fillId="0" borderId="20" xfId="0" applyNumberFormat="1" applyFont="1" applyBorder="1" applyAlignment="1">
      <alignment horizontal="center" vertical="center"/>
    </xf>
    <xf numFmtId="3" fontId="6" fillId="10" borderId="4" xfId="0" applyNumberFormat="1" applyFont="1" applyFill="1" applyBorder="1" applyAlignment="1">
      <alignment horizontal="center" vertical="center" wrapText="1"/>
    </xf>
    <xf numFmtId="3" fontId="6" fillId="10" borderId="4" xfId="0" applyNumberFormat="1" applyFont="1" applyFill="1" applyBorder="1" applyAlignment="1">
      <alignment horizontal="center" vertical="top" wrapText="1"/>
    </xf>
    <xf numFmtId="3" fontId="6" fillId="10" borderId="6" xfId="0" applyNumberFormat="1" applyFont="1" applyFill="1" applyBorder="1" applyAlignment="1">
      <alignment horizontal="center" vertical="center" wrapText="1"/>
    </xf>
    <xf numFmtId="3" fontId="6" fillId="10" borderId="26" xfId="0" applyNumberFormat="1" applyFont="1" applyFill="1" applyBorder="1" applyAlignment="1">
      <alignment horizontal="center" vertical="center" wrapText="1"/>
    </xf>
    <xf numFmtId="3" fontId="6" fillId="10" borderId="27" xfId="0" applyNumberFormat="1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 wrapText="1"/>
    </xf>
    <xf numFmtId="0" fontId="7" fillId="0" borderId="16" xfId="0" applyFont="1" applyBorder="1"/>
    <xf numFmtId="0" fontId="8" fillId="10" borderId="5" xfId="0" applyFont="1" applyFill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7" fillId="0" borderId="17" xfId="0" applyFont="1" applyBorder="1"/>
    <xf numFmtId="0" fontId="5" fillId="10" borderId="3" xfId="0" applyFont="1" applyFill="1" applyBorder="1" applyAlignment="1">
      <alignment horizontal="center" vertical="center" wrapText="1"/>
    </xf>
    <xf numFmtId="0" fontId="5" fillId="10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209550</xdr:colOff>
      <xdr:row>15</xdr:row>
      <xdr:rowOff>19050</xdr:rowOff>
    </xdr:from>
    <xdr:ext cx="419100" cy="323850"/>
    <xdr:pic>
      <xdr:nvPicPr>
        <xdr:cNvPr id="2" name="image1.jpg" title="Gambar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ocs.google.com/spreadsheets/d/1F-KaW-FjwOvgLfjAFcA3Rduuqiq83D3_34D2RakAaCM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K1024"/>
  <sheetViews>
    <sheetView tabSelected="1" view="pageBreakPreview" zoomScaleNormal="100" zoomScaleSheetLayoutView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J122" sqref="J122"/>
    </sheetView>
  </sheetViews>
  <sheetFormatPr defaultColWidth="12.5703125" defaultRowHeight="15.75" customHeight="1" x14ac:dyDescent="0.2"/>
  <cols>
    <col min="1" max="1" width="6.42578125" customWidth="1"/>
    <col min="2" max="2" width="67.85546875" customWidth="1"/>
    <col min="3" max="3" width="10.140625" customWidth="1"/>
    <col min="4" max="4" width="9.7109375" customWidth="1"/>
    <col min="5" max="5" width="9" customWidth="1"/>
    <col min="6" max="6" width="8.85546875" customWidth="1"/>
    <col min="7" max="7" width="10.7109375" customWidth="1"/>
    <col min="8" max="8" width="12.42578125" customWidth="1"/>
    <col min="9" max="9" width="9.28515625" customWidth="1"/>
    <col min="10" max="10" width="10" customWidth="1"/>
    <col min="11" max="11" width="9.140625" customWidth="1"/>
    <col min="12" max="12" width="8.85546875" customWidth="1"/>
    <col min="13" max="13" width="8.5703125" customWidth="1"/>
    <col min="14" max="14" width="9" customWidth="1"/>
    <col min="15" max="15" width="8.140625" customWidth="1"/>
    <col min="16" max="16" width="9.5703125" customWidth="1"/>
    <col min="17" max="17" width="7.85546875" customWidth="1"/>
    <col min="18" max="18" width="6.7109375" customWidth="1"/>
    <col min="19" max="19" width="9.140625" customWidth="1"/>
    <col min="20" max="20" width="8.85546875" customWidth="1"/>
    <col min="21" max="21" width="9.140625" customWidth="1"/>
    <col min="22" max="22" width="6.7109375" customWidth="1"/>
    <col min="23" max="23" width="9.42578125" customWidth="1"/>
    <col min="24" max="24" width="7" customWidth="1"/>
    <col min="25" max="25" width="11.7109375" customWidth="1"/>
    <col min="26" max="26" width="8.7109375" customWidth="1"/>
    <col min="27" max="27" width="25.140625" customWidth="1"/>
    <col min="28" max="28" width="23.85546875" hidden="1" customWidth="1"/>
    <col min="31" max="32" width="12.5703125" hidden="1"/>
  </cols>
  <sheetData>
    <row r="1" spans="1:37" hidden="1" x14ac:dyDescent="0.25">
      <c r="A1" s="1" t="s">
        <v>0</v>
      </c>
      <c r="B1" s="2" t="s">
        <v>1</v>
      </c>
      <c r="AA1" s="1"/>
    </row>
    <row r="2" spans="1:37" ht="12.75" hidden="1" x14ac:dyDescent="0.2">
      <c r="A2" s="1"/>
      <c r="B2" s="5" t="s">
        <v>2</v>
      </c>
      <c r="AA2" s="1"/>
    </row>
    <row r="3" spans="1:37" ht="12.75" hidden="1" x14ac:dyDescent="0.2">
      <c r="A3" s="1"/>
      <c r="AA3" s="1"/>
    </row>
    <row r="4" spans="1:37" ht="21" hidden="1" x14ac:dyDescent="0.35">
      <c r="B4" s="6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</row>
    <row r="5" spans="1:37" ht="12.75" hidden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1"/>
    </row>
    <row r="6" spans="1:37" ht="12.75" x14ac:dyDescent="0.2">
      <c r="A6" s="174" t="s">
        <v>3</v>
      </c>
      <c r="B6" s="174" t="s">
        <v>4</v>
      </c>
      <c r="C6" s="177" t="s">
        <v>5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88" t="s">
        <v>6</v>
      </c>
      <c r="AE6" s="189" t="s">
        <v>7</v>
      </c>
    </row>
    <row r="7" spans="1:37" ht="12.75" x14ac:dyDescent="0.2">
      <c r="A7" s="175"/>
      <c r="B7" s="175"/>
      <c r="C7" s="180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75"/>
      <c r="AE7" s="173"/>
    </row>
    <row r="8" spans="1:37" ht="15" x14ac:dyDescent="0.25">
      <c r="A8" s="175"/>
      <c r="B8" s="175"/>
      <c r="C8" s="190" t="s">
        <v>8</v>
      </c>
      <c r="D8" s="184"/>
      <c r="E8" s="190" t="s">
        <v>9</v>
      </c>
      <c r="F8" s="184"/>
      <c r="G8" s="190" t="s">
        <v>10</v>
      </c>
      <c r="H8" s="184"/>
      <c r="I8" s="190" t="s">
        <v>11</v>
      </c>
      <c r="J8" s="184"/>
      <c r="K8" s="190" t="s">
        <v>12</v>
      </c>
      <c r="L8" s="184"/>
      <c r="M8" s="190" t="s">
        <v>13</v>
      </c>
      <c r="N8" s="184"/>
      <c r="O8" s="190" t="s">
        <v>14</v>
      </c>
      <c r="P8" s="184"/>
      <c r="Q8" s="190" t="s">
        <v>15</v>
      </c>
      <c r="R8" s="184"/>
      <c r="S8" s="190" t="s">
        <v>16</v>
      </c>
      <c r="T8" s="184"/>
      <c r="U8" s="190" t="s">
        <v>17</v>
      </c>
      <c r="V8" s="184"/>
      <c r="W8" s="190" t="s">
        <v>18</v>
      </c>
      <c r="X8" s="184"/>
      <c r="Y8" s="190" t="s">
        <v>19</v>
      </c>
      <c r="Z8" s="184"/>
      <c r="AA8" s="175"/>
      <c r="AE8" s="173"/>
    </row>
    <row r="9" spans="1:37" ht="15" x14ac:dyDescent="0.25">
      <c r="A9" s="176"/>
      <c r="B9" s="176"/>
      <c r="C9" s="11" t="s">
        <v>20</v>
      </c>
      <c r="D9" s="11" t="s">
        <v>21</v>
      </c>
      <c r="E9" s="11" t="s">
        <v>20</v>
      </c>
      <c r="F9" s="11" t="s">
        <v>21</v>
      </c>
      <c r="G9" s="11" t="s">
        <v>20</v>
      </c>
      <c r="H9" s="11" t="s">
        <v>21</v>
      </c>
      <c r="I9" s="11" t="s">
        <v>20</v>
      </c>
      <c r="J9" s="11" t="s">
        <v>21</v>
      </c>
      <c r="K9" s="11" t="s">
        <v>20</v>
      </c>
      <c r="L9" s="11" t="s">
        <v>21</v>
      </c>
      <c r="M9" s="11" t="s">
        <v>20</v>
      </c>
      <c r="N9" s="11" t="s">
        <v>21</v>
      </c>
      <c r="O9" s="11" t="s">
        <v>20</v>
      </c>
      <c r="P9" s="11" t="s">
        <v>21</v>
      </c>
      <c r="Q9" s="11" t="s">
        <v>20</v>
      </c>
      <c r="R9" s="11" t="s">
        <v>21</v>
      </c>
      <c r="S9" s="11" t="s">
        <v>20</v>
      </c>
      <c r="T9" s="11" t="s">
        <v>21</v>
      </c>
      <c r="U9" s="11" t="s">
        <v>20</v>
      </c>
      <c r="V9" s="11" t="s">
        <v>21</v>
      </c>
      <c r="W9" s="11" t="s">
        <v>20</v>
      </c>
      <c r="X9" s="11" t="s">
        <v>21</v>
      </c>
      <c r="Y9" s="11" t="s">
        <v>20</v>
      </c>
      <c r="Z9" s="11" t="s">
        <v>21</v>
      </c>
      <c r="AA9" s="176"/>
      <c r="AE9" s="173"/>
    </row>
    <row r="10" spans="1:37" ht="34.5" customHeight="1" x14ac:dyDescent="0.2">
      <c r="A10" s="12" t="s">
        <v>22</v>
      </c>
      <c r="B10" s="13" t="s">
        <v>23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5"/>
      <c r="Z10" s="15"/>
      <c r="AA10" s="13"/>
      <c r="AB10" s="16"/>
      <c r="AC10" s="16"/>
      <c r="AD10" s="16"/>
      <c r="AE10" s="16"/>
      <c r="AF10" s="16"/>
      <c r="AG10" s="16"/>
    </row>
    <row r="11" spans="1:37" ht="42" hidden="1" customHeight="1" x14ac:dyDescent="0.2">
      <c r="A11" s="17" t="s">
        <v>24</v>
      </c>
      <c r="B11" s="18" t="s">
        <v>25</v>
      </c>
      <c r="C11" s="19"/>
      <c r="D11" s="19"/>
      <c r="E11" s="185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20"/>
      <c r="Z11" s="20"/>
      <c r="AA11" s="9"/>
      <c r="AB11" s="16"/>
      <c r="AC11" s="16"/>
      <c r="AD11" s="16"/>
      <c r="AE11" s="16"/>
      <c r="AF11" s="16"/>
      <c r="AG11" s="16"/>
    </row>
    <row r="12" spans="1:37" ht="33.75" hidden="1" customHeight="1" x14ac:dyDescent="0.2">
      <c r="A12" s="21" t="s">
        <v>26</v>
      </c>
      <c r="B12" s="22" t="s">
        <v>27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23"/>
      <c r="Z12" s="23"/>
      <c r="AA12" s="9"/>
      <c r="AB12" s="16"/>
      <c r="AC12" s="16"/>
      <c r="AD12" s="16"/>
      <c r="AE12" s="16"/>
      <c r="AF12" s="16"/>
      <c r="AG12" s="16"/>
    </row>
    <row r="13" spans="1:37" ht="30" hidden="1" customHeight="1" x14ac:dyDescent="0.2">
      <c r="A13" s="24">
        <v>1</v>
      </c>
      <c r="B13" s="25" t="s">
        <v>28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8">
        <v>0</v>
      </c>
      <c r="N13" s="28"/>
      <c r="O13" s="28">
        <v>2.5</v>
      </c>
      <c r="P13" s="28"/>
      <c r="Q13" s="28">
        <v>2.5</v>
      </c>
      <c r="R13" s="28"/>
      <c r="S13" s="28">
        <v>100</v>
      </c>
      <c r="T13" s="28">
        <v>33</v>
      </c>
      <c r="U13" s="28">
        <v>100</v>
      </c>
      <c r="V13" s="28">
        <v>33</v>
      </c>
      <c r="W13" s="28">
        <v>100</v>
      </c>
      <c r="X13" s="28">
        <v>33</v>
      </c>
      <c r="Y13" s="28">
        <v>100</v>
      </c>
      <c r="Z13" s="28">
        <v>33</v>
      </c>
      <c r="AA13" s="24" t="s">
        <v>29</v>
      </c>
      <c r="AB13" s="29" t="s">
        <v>30</v>
      </c>
      <c r="AC13" s="16"/>
      <c r="AD13" s="16"/>
      <c r="AE13" s="16"/>
      <c r="AF13" s="16"/>
      <c r="AG13" s="16"/>
    </row>
    <row r="14" spans="1:37" ht="30" hidden="1" customHeight="1" x14ac:dyDescent="0.2">
      <c r="A14" s="24">
        <v>2</v>
      </c>
      <c r="B14" s="25" t="s">
        <v>31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8">
        <v>0</v>
      </c>
      <c r="N14" s="28"/>
      <c r="O14" s="28">
        <v>2.5</v>
      </c>
      <c r="P14" s="28"/>
      <c r="Q14" s="28">
        <v>2.5</v>
      </c>
      <c r="R14" s="28"/>
      <c r="S14" s="28">
        <v>100</v>
      </c>
      <c r="T14" s="28"/>
      <c r="U14" s="28">
        <v>100</v>
      </c>
      <c r="V14" s="28">
        <v>12</v>
      </c>
      <c r="W14" s="28">
        <v>100</v>
      </c>
      <c r="X14" s="28">
        <v>12</v>
      </c>
      <c r="Y14" s="28">
        <v>100</v>
      </c>
      <c r="Z14" s="28">
        <v>12</v>
      </c>
      <c r="AA14" s="24" t="s">
        <v>29</v>
      </c>
      <c r="AB14" s="16" t="s">
        <v>32</v>
      </c>
      <c r="AC14" s="16"/>
      <c r="AD14" s="16"/>
      <c r="AE14" s="16"/>
      <c r="AF14" s="16"/>
      <c r="AG14" s="16"/>
    </row>
    <row r="15" spans="1:37" ht="30" hidden="1" customHeight="1" x14ac:dyDescent="0.2">
      <c r="A15" s="24">
        <v>3</v>
      </c>
      <c r="B15" s="25" t="s">
        <v>33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8"/>
      <c r="N15" s="28"/>
      <c r="O15" s="28">
        <v>1.34</v>
      </c>
      <c r="P15" s="28"/>
      <c r="Q15" s="28">
        <v>5.22</v>
      </c>
      <c r="R15" s="28"/>
      <c r="S15" s="28">
        <v>100</v>
      </c>
      <c r="T15" s="28">
        <v>27</v>
      </c>
      <c r="U15" s="28">
        <v>100</v>
      </c>
      <c r="V15" s="28">
        <v>27</v>
      </c>
      <c r="W15" s="28">
        <v>100</v>
      </c>
      <c r="X15" s="28">
        <v>27</v>
      </c>
      <c r="Y15" s="28">
        <v>100</v>
      </c>
      <c r="Z15" s="28">
        <v>27</v>
      </c>
      <c r="AA15" s="24" t="s">
        <v>29</v>
      </c>
      <c r="AB15" s="16" t="s">
        <v>34</v>
      </c>
      <c r="AC15" s="16"/>
      <c r="AD15" s="16"/>
      <c r="AE15" s="16"/>
      <c r="AF15" s="16"/>
      <c r="AG15" s="16"/>
    </row>
    <row r="16" spans="1:37" ht="30" hidden="1" customHeight="1" x14ac:dyDescent="0.2">
      <c r="A16" s="24">
        <v>4</v>
      </c>
      <c r="B16" s="25" t="s">
        <v>35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8">
        <v>0</v>
      </c>
      <c r="N16" s="28"/>
      <c r="O16" s="28">
        <v>25</v>
      </c>
      <c r="P16" s="28"/>
      <c r="Q16" s="28">
        <v>100</v>
      </c>
      <c r="R16" s="28">
        <v>30</v>
      </c>
      <c r="S16" s="28">
        <v>100</v>
      </c>
      <c r="T16" s="28">
        <v>30</v>
      </c>
      <c r="U16" s="28">
        <v>100</v>
      </c>
      <c r="V16" s="28">
        <v>30</v>
      </c>
      <c r="W16" s="28">
        <v>100</v>
      </c>
      <c r="X16" s="28">
        <v>30</v>
      </c>
      <c r="Y16" s="28">
        <v>100</v>
      </c>
      <c r="Z16" s="28">
        <v>30</v>
      </c>
      <c r="AA16" s="24" t="s">
        <v>29</v>
      </c>
      <c r="AB16" s="16" t="s">
        <v>36</v>
      </c>
      <c r="AC16" s="16"/>
      <c r="AD16" s="16"/>
      <c r="AE16" s="16"/>
      <c r="AF16" s="16"/>
      <c r="AG16" s="16"/>
    </row>
    <row r="17" spans="1:37" ht="30" hidden="1" customHeight="1" x14ac:dyDescent="0.2">
      <c r="A17" s="24">
        <v>5</v>
      </c>
      <c r="B17" s="25" t="s">
        <v>37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8"/>
      <c r="N17" s="28"/>
      <c r="O17" s="28"/>
      <c r="P17" s="28"/>
      <c r="Q17" s="28">
        <v>1.49</v>
      </c>
      <c r="R17" s="28"/>
      <c r="S17" s="28">
        <v>1.49</v>
      </c>
      <c r="T17" s="28"/>
      <c r="U17" s="28">
        <v>100</v>
      </c>
      <c r="V17" s="28">
        <v>28</v>
      </c>
      <c r="W17" s="28">
        <v>100</v>
      </c>
      <c r="X17" s="28">
        <v>28</v>
      </c>
      <c r="Y17" s="28">
        <v>100</v>
      </c>
      <c r="Z17" s="28">
        <v>28</v>
      </c>
      <c r="AA17" s="24" t="s">
        <v>29</v>
      </c>
      <c r="AB17" s="16" t="s">
        <v>38</v>
      </c>
      <c r="AC17" s="16"/>
      <c r="AD17" s="16"/>
      <c r="AE17" s="16"/>
      <c r="AF17" s="16"/>
      <c r="AG17" s="16"/>
    </row>
    <row r="18" spans="1:37" ht="30" hidden="1" customHeight="1" x14ac:dyDescent="0.2">
      <c r="A18" s="24">
        <v>6</v>
      </c>
      <c r="B18" s="25" t="s">
        <v>39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8">
        <v>15</v>
      </c>
      <c r="N18" s="28"/>
      <c r="O18" s="28">
        <v>70</v>
      </c>
      <c r="P18" s="28"/>
      <c r="Q18" s="28">
        <v>100</v>
      </c>
      <c r="R18" s="28">
        <v>34</v>
      </c>
      <c r="S18" s="28">
        <v>100</v>
      </c>
      <c r="T18" s="28">
        <v>34</v>
      </c>
      <c r="U18" s="28">
        <v>100</v>
      </c>
      <c r="V18" s="28">
        <v>34</v>
      </c>
      <c r="W18" s="28">
        <v>100</v>
      </c>
      <c r="X18" s="28">
        <v>34</v>
      </c>
      <c r="Y18" s="28">
        <v>100</v>
      </c>
      <c r="Z18" s="28">
        <v>34</v>
      </c>
      <c r="AA18" s="24" t="s">
        <v>29</v>
      </c>
      <c r="AB18" s="16" t="s">
        <v>40</v>
      </c>
      <c r="AC18" s="16"/>
      <c r="AD18" s="16"/>
      <c r="AE18" s="16"/>
      <c r="AF18" s="16"/>
      <c r="AG18" s="16"/>
    </row>
    <row r="19" spans="1:37" ht="30" hidden="1" customHeight="1" x14ac:dyDescent="0.2">
      <c r="A19" s="24">
        <v>7</v>
      </c>
      <c r="B19" s="25" t="s">
        <v>41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>
        <v>0</v>
      </c>
      <c r="N19" s="28"/>
      <c r="O19" s="28">
        <v>2.5</v>
      </c>
      <c r="P19" s="28"/>
      <c r="Q19" s="28">
        <v>20</v>
      </c>
      <c r="R19" s="28"/>
      <c r="S19" s="28">
        <v>100</v>
      </c>
      <c r="T19" s="28">
        <v>34</v>
      </c>
      <c r="U19" s="28">
        <v>100</v>
      </c>
      <c r="V19" s="28">
        <v>34</v>
      </c>
      <c r="W19" s="28">
        <v>100</v>
      </c>
      <c r="X19" s="28">
        <v>34</v>
      </c>
      <c r="Y19" s="28">
        <v>100</v>
      </c>
      <c r="Z19" s="28">
        <v>34</v>
      </c>
      <c r="AA19" s="24" t="s">
        <v>29</v>
      </c>
      <c r="AB19" s="16" t="s">
        <v>42</v>
      </c>
      <c r="AC19" s="16"/>
      <c r="AD19" s="16"/>
      <c r="AE19" s="16"/>
      <c r="AF19" s="16"/>
      <c r="AG19" s="16"/>
    </row>
    <row r="20" spans="1:37" ht="30" hidden="1" customHeight="1" x14ac:dyDescent="0.2">
      <c r="A20" s="24">
        <v>8</v>
      </c>
      <c r="B20" s="25" t="s">
        <v>43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8"/>
      <c r="N20" s="28"/>
      <c r="O20" s="28"/>
      <c r="P20" s="28"/>
      <c r="Q20" s="28">
        <v>1.48</v>
      </c>
      <c r="R20" s="28"/>
      <c r="S20" s="28">
        <v>100</v>
      </c>
      <c r="T20" s="28">
        <v>24</v>
      </c>
      <c r="U20" s="28">
        <v>100</v>
      </c>
      <c r="V20" s="28">
        <v>24</v>
      </c>
      <c r="W20" s="28">
        <v>100</v>
      </c>
      <c r="X20" s="28">
        <v>24</v>
      </c>
      <c r="Y20" s="28">
        <v>100</v>
      </c>
      <c r="Z20" s="28">
        <v>24</v>
      </c>
      <c r="AA20" s="24" t="s">
        <v>29</v>
      </c>
      <c r="AB20" s="16" t="s">
        <v>44</v>
      </c>
      <c r="AC20" s="16"/>
      <c r="AD20" s="16"/>
      <c r="AE20" s="16"/>
      <c r="AF20" s="16"/>
      <c r="AG20" s="16"/>
    </row>
    <row r="21" spans="1:37" ht="30" hidden="1" customHeight="1" x14ac:dyDescent="0.2">
      <c r="A21" s="24">
        <v>9</v>
      </c>
      <c r="B21" s="25" t="s">
        <v>45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8">
        <v>4.09</v>
      </c>
      <c r="N21" s="28"/>
      <c r="O21" s="28">
        <v>81</v>
      </c>
      <c r="P21" s="28"/>
      <c r="Q21" s="28">
        <v>100</v>
      </c>
      <c r="R21" s="28">
        <v>25</v>
      </c>
      <c r="S21" s="28">
        <v>100</v>
      </c>
      <c r="T21" s="28">
        <v>25</v>
      </c>
      <c r="U21" s="28">
        <v>100</v>
      </c>
      <c r="V21" s="28">
        <v>25</v>
      </c>
      <c r="W21" s="28">
        <v>100</v>
      </c>
      <c r="X21" s="28">
        <v>25</v>
      </c>
      <c r="Y21" s="28">
        <v>100</v>
      </c>
      <c r="Z21" s="28">
        <v>25</v>
      </c>
      <c r="AA21" s="24" t="s">
        <v>29</v>
      </c>
      <c r="AB21" s="16" t="s">
        <v>46</v>
      </c>
      <c r="AC21" s="16" t="s">
        <v>47</v>
      </c>
      <c r="AD21" s="16"/>
      <c r="AE21" s="16"/>
      <c r="AF21" s="16"/>
      <c r="AG21" s="16"/>
    </row>
    <row r="22" spans="1:37" ht="30" hidden="1" customHeight="1" x14ac:dyDescent="0.2">
      <c r="A22" s="24">
        <v>10</v>
      </c>
      <c r="B22" s="25" t="s">
        <v>48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8">
        <v>0</v>
      </c>
      <c r="N22" s="28"/>
      <c r="O22" s="28">
        <v>60</v>
      </c>
      <c r="P22" s="28"/>
      <c r="Q22" s="28">
        <v>100</v>
      </c>
      <c r="R22" s="28">
        <v>32</v>
      </c>
      <c r="S22" s="28">
        <v>100</v>
      </c>
      <c r="T22" s="28">
        <v>32</v>
      </c>
      <c r="U22" s="28">
        <v>100</v>
      </c>
      <c r="V22" s="28">
        <v>32</v>
      </c>
      <c r="W22" s="28">
        <v>100</v>
      </c>
      <c r="X22" s="28">
        <v>32</v>
      </c>
      <c r="Y22" s="28">
        <v>100</v>
      </c>
      <c r="Z22" s="28">
        <v>32</v>
      </c>
      <c r="AA22" s="24" t="s">
        <v>29</v>
      </c>
      <c r="AB22" s="16" t="s">
        <v>49</v>
      </c>
      <c r="AC22" s="16" t="s">
        <v>50</v>
      </c>
      <c r="AD22" s="16"/>
      <c r="AE22" s="16"/>
      <c r="AF22" s="16"/>
      <c r="AG22" s="16"/>
    </row>
    <row r="23" spans="1:37" ht="30" hidden="1" customHeight="1" x14ac:dyDescent="0.2">
      <c r="A23" s="30">
        <v>11</v>
      </c>
      <c r="B23" s="25" t="s">
        <v>51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8"/>
      <c r="N23" s="28"/>
      <c r="O23" s="28"/>
      <c r="P23" s="28"/>
      <c r="Q23" s="28"/>
      <c r="R23" s="28"/>
      <c r="S23" s="28">
        <v>8.02</v>
      </c>
      <c r="T23" s="28"/>
      <c r="U23" s="28">
        <v>80.27</v>
      </c>
      <c r="V23" s="28"/>
      <c r="W23" s="28">
        <v>100</v>
      </c>
      <c r="X23" s="28">
        <v>53</v>
      </c>
      <c r="Y23" s="28">
        <v>100</v>
      </c>
      <c r="Z23" s="28">
        <v>53</v>
      </c>
      <c r="AA23" s="24" t="s">
        <v>29</v>
      </c>
      <c r="AB23" s="16" t="s">
        <v>52</v>
      </c>
      <c r="AC23" s="16"/>
      <c r="AD23" s="16"/>
      <c r="AE23" s="16"/>
      <c r="AF23" s="16"/>
      <c r="AG23" s="16"/>
    </row>
    <row r="24" spans="1:37" ht="30" hidden="1" customHeight="1" x14ac:dyDescent="0.2">
      <c r="A24" s="24">
        <v>12</v>
      </c>
      <c r="B24" s="25" t="s">
        <v>53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8"/>
      <c r="N24" s="28"/>
      <c r="O24" s="28"/>
      <c r="P24" s="28"/>
      <c r="Q24" s="28">
        <v>2</v>
      </c>
      <c r="R24" s="28"/>
      <c r="S24" s="28">
        <v>100</v>
      </c>
      <c r="T24" s="28">
        <v>24</v>
      </c>
      <c r="U24" s="28">
        <v>100</v>
      </c>
      <c r="V24" s="28">
        <v>24</v>
      </c>
      <c r="W24" s="28">
        <v>100</v>
      </c>
      <c r="X24" s="28">
        <v>24</v>
      </c>
      <c r="Y24" s="28">
        <v>100</v>
      </c>
      <c r="Z24" s="28">
        <v>24</v>
      </c>
      <c r="AA24" s="24" t="s">
        <v>29</v>
      </c>
      <c r="AB24" s="16" t="s">
        <v>54</v>
      </c>
      <c r="AC24" s="16"/>
      <c r="AD24" s="16"/>
      <c r="AE24" s="16"/>
      <c r="AF24" s="16"/>
      <c r="AG24" s="16"/>
    </row>
    <row r="25" spans="1:37" ht="30" hidden="1" customHeight="1" x14ac:dyDescent="0.2">
      <c r="A25" s="30">
        <v>13</v>
      </c>
      <c r="B25" s="25" t="s">
        <v>55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8"/>
      <c r="N25" s="28"/>
      <c r="O25" s="28"/>
      <c r="P25" s="28"/>
      <c r="Q25" s="28"/>
      <c r="R25" s="28"/>
      <c r="S25" s="28">
        <v>0</v>
      </c>
      <c r="T25" s="28"/>
      <c r="U25" s="28">
        <v>0.5</v>
      </c>
      <c r="V25" s="28"/>
      <c r="W25" s="28">
        <v>51.09</v>
      </c>
      <c r="X25" s="28"/>
      <c r="Y25" s="28">
        <v>100</v>
      </c>
      <c r="Z25" s="28">
        <v>23</v>
      </c>
      <c r="AA25" s="24" t="s">
        <v>29</v>
      </c>
      <c r="AB25" s="16" t="s">
        <v>56</v>
      </c>
      <c r="AC25" s="16"/>
      <c r="AD25" s="16"/>
      <c r="AE25" s="16"/>
      <c r="AF25" s="16"/>
      <c r="AG25" s="16"/>
    </row>
    <row r="26" spans="1:37" ht="30" hidden="1" customHeight="1" x14ac:dyDescent="0.2">
      <c r="A26" s="30">
        <v>14</v>
      </c>
      <c r="B26" s="25" t="s">
        <v>57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8"/>
      <c r="N26" s="28"/>
      <c r="O26" s="28"/>
      <c r="P26" s="28"/>
      <c r="Q26" s="28"/>
      <c r="R26" s="28"/>
      <c r="S26" s="28">
        <v>8.3000000000000007</v>
      </c>
      <c r="T26" s="28"/>
      <c r="U26" s="28">
        <v>100</v>
      </c>
      <c r="V26" s="28">
        <v>42.5</v>
      </c>
      <c r="W26" s="28">
        <v>100</v>
      </c>
      <c r="X26" s="28">
        <v>42.5</v>
      </c>
      <c r="Y26" s="28">
        <v>100</v>
      </c>
      <c r="Z26" s="28">
        <v>42.5</v>
      </c>
      <c r="AA26" s="24" t="s">
        <v>29</v>
      </c>
      <c r="AB26" s="16" t="s">
        <v>58</v>
      </c>
      <c r="AC26" s="16"/>
      <c r="AD26" s="16"/>
      <c r="AE26" s="16"/>
      <c r="AF26" s="16"/>
      <c r="AG26" s="16"/>
    </row>
    <row r="27" spans="1:37" ht="30" hidden="1" customHeight="1" x14ac:dyDescent="0.2">
      <c r="A27" s="30">
        <v>15</v>
      </c>
      <c r="B27" s="25" t="s">
        <v>59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8"/>
      <c r="N27" s="28"/>
      <c r="O27" s="28"/>
      <c r="P27" s="28"/>
      <c r="Q27" s="28"/>
      <c r="R27" s="28"/>
      <c r="S27" s="28">
        <v>0</v>
      </c>
      <c r="T27" s="28"/>
      <c r="U27" s="28">
        <v>100</v>
      </c>
      <c r="V27" s="28">
        <v>52</v>
      </c>
      <c r="W27" s="28">
        <v>100</v>
      </c>
      <c r="X27" s="28">
        <v>52</v>
      </c>
      <c r="Y27" s="28">
        <v>100</v>
      </c>
      <c r="Z27" s="28">
        <v>52</v>
      </c>
      <c r="AA27" s="24" t="s">
        <v>29</v>
      </c>
      <c r="AB27" s="16" t="s">
        <v>60</v>
      </c>
      <c r="AC27" s="16"/>
      <c r="AD27" s="16"/>
      <c r="AE27" s="16"/>
      <c r="AF27" s="16"/>
      <c r="AG27" s="16"/>
    </row>
    <row r="28" spans="1:37" ht="30" hidden="1" customHeight="1" x14ac:dyDescent="0.2">
      <c r="A28" s="30">
        <v>16</v>
      </c>
      <c r="B28" s="25" t="s">
        <v>61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8"/>
      <c r="N28" s="28"/>
      <c r="O28" s="28"/>
      <c r="P28" s="28"/>
      <c r="Q28" s="28"/>
      <c r="R28" s="28"/>
      <c r="S28" s="28">
        <v>1.5</v>
      </c>
      <c r="T28" s="28"/>
      <c r="U28" s="28">
        <v>100</v>
      </c>
      <c r="V28" s="28">
        <v>30</v>
      </c>
      <c r="W28" s="28">
        <v>100</v>
      </c>
      <c r="X28" s="28">
        <v>30</v>
      </c>
      <c r="Y28" s="28">
        <v>100</v>
      </c>
      <c r="Z28" s="28">
        <v>30</v>
      </c>
      <c r="AA28" s="24" t="s">
        <v>29</v>
      </c>
      <c r="AB28" s="16" t="s">
        <v>62</v>
      </c>
      <c r="AC28" s="16"/>
      <c r="AD28" s="16"/>
      <c r="AE28" s="16"/>
      <c r="AF28" s="16"/>
      <c r="AG28" s="16"/>
    </row>
    <row r="29" spans="1:37" ht="30" hidden="1" customHeight="1" x14ac:dyDescent="0.2">
      <c r="A29" s="30">
        <v>17</v>
      </c>
      <c r="B29" s="25" t="s">
        <v>63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8"/>
      <c r="N29" s="28"/>
      <c r="O29" s="28"/>
      <c r="P29" s="28"/>
      <c r="Q29" s="28"/>
      <c r="R29" s="28"/>
      <c r="S29" s="28">
        <v>1.5</v>
      </c>
      <c r="T29" s="28"/>
      <c r="U29" s="28">
        <v>51.27</v>
      </c>
      <c r="V29" s="28"/>
      <c r="W29" s="28">
        <v>90</v>
      </c>
      <c r="X29" s="28"/>
      <c r="Y29" s="28">
        <v>100</v>
      </c>
      <c r="Z29" s="28">
        <v>33</v>
      </c>
      <c r="AA29" s="24" t="s">
        <v>29</v>
      </c>
      <c r="AB29" s="16" t="s">
        <v>64</v>
      </c>
      <c r="AC29" s="16"/>
      <c r="AD29" s="16"/>
      <c r="AE29" s="16"/>
      <c r="AF29" s="16"/>
      <c r="AG29" s="16"/>
    </row>
    <row r="30" spans="1:37" ht="30" hidden="1" customHeight="1" x14ac:dyDescent="0.2">
      <c r="A30" s="30">
        <v>18</v>
      </c>
      <c r="B30" s="25" t="s">
        <v>65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8"/>
      <c r="N30" s="28"/>
      <c r="O30" s="28"/>
      <c r="P30" s="28"/>
      <c r="Q30" s="28"/>
      <c r="R30" s="28"/>
      <c r="S30" s="28">
        <v>0</v>
      </c>
      <c r="T30" s="28"/>
      <c r="U30" s="28">
        <v>0.5</v>
      </c>
      <c r="V30" s="28"/>
      <c r="W30" s="28">
        <v>50</v>
      </c>
      <c r="X30" s="28"/>
      <c r="Y30" s="28">
        <v>100</v>
      </c>
      <c r="Z30" s="28">
        <v>56</v>
      </c>
      <c r="AA30" s="24" t="s">
        <v>29</v>
      </c>
      <c r="AB30" s="16" t="s">
        <v>66</v>
      </c>
      <c r="AC30" s="16"/>
      <c r="AD30" s="16"/>
      <c r="AE30" s="16"/>
      <c r="AF30" s="16"/>
      <c r="AG30" s="16"/>
    </row>
    <row r="31" spans="1:37" ht="30" hidden="1" customHeight="1" x14ac:dyDescent="0.2">
      <c r="A31" s="30">
        <v>19</v>
      </c>
      <c r="B31" s="25" t="s">
        <v>67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8"/>
      <c r="N31" s="28"/>
      <c r="O31" s="28"/>
      <c r="P31" s="28"/>
      <c r="Q31" s="28"/>
      <c r="R31" s="28"/>
      <c r="S31" s="28">
        <v>0</v>
      </c>
      <c r="T31" s="28"/>
      <c r="U31" s="28">
        <v>5</v>
      </c>
      <c r="V31" s="28"/>
      <c r="W31" s="28">
        <v>100</v>
      </c>
      <c r="X31" s="28">
        <v>34</v>
      </c>
      <c r="Y31" s="28">
        <v>100</v>
      </c>
      <c r="Z31" s="28">
        <v>34</v>
      </c>
      <c r="AA31" s="24" t="s">
        <v>29</v>
      </c>
      <c r="AB31" s="16" t="s">
        <v>68</v>
      </c>
      <c r="AC31" s="16"/>
      <c r="AD31" s="16"/>
      <c r="AE31" s="16"/>
      <c r="AF31" s="16"/>
      <c r="AG31" s="16"/>
    </row>
    <row r="32" spans="1:37" ht="30" hidden="1" customHeight="1" x14ac:dyDescent="0.25">
      <c r="A32" s="31">
        <v>20</v>
      </c>
      <c r="B32" s="32" t="s">
        <v>69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>
        <v>0</v>
      </c>
      <c r="X32" s="34"/>
      <c r="Y32" s="34">
        <v>100</v>
      </c>
      <c r="Z32" s="34">
        <v>24</v>
      </c>
      <c r="AA32" s="24" t="s">
        <v>29</v>
      </c>
      <c r="AB32" s="16"/>
      <c r="AC32" s="16"/>
      <c r="AD32" s="16"/>
      <c r="AE32" s="16"/>
      <c r="AF32" s="16"/>
      <c r="AG32" s="16"/>
    </row>
    <row r="33" spans="1:37" ht="30" hidden="1" customHeight="1" x14ac:dyDescent="0.25">
      <c r="A33" s="31">
        <v>21</v>
      </c>
      <c r="B33" s="32" t="s">
        <v>70</v>
      </c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>
        <v>0</v>
      </c>
      <c r="X33" s="34"/>
      <c r="Y33" s="34">
        <v>100</v>
      </c>
      <c r="Z33" s="34">
        <v>20</v>
      </c>
      <c r="AA33" s="24" t="s">
        <v>29</v>
      </c>
      <c r="AB33" s="16"/>
      <c r="AC33" s="16" t="s">
        <v>71</v>
      </c>
      <c r="AD33" s="16"/>
      <c r="AE33" s="16"/>
      <c r="AF33" s="16"/>
      <c r="AG33" s="16"/>
    </row>
    <row r="34" spans="1:37" ht="30" hidden="1" customHeight="1" x14ac:dyDescent="0.25">
      <c r="A34" s="31">
        <v>22</v>
      </c>
      <c r="B34" s="32" t="s">
        <v>72</v>
      </c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>
        <v>0</v>
      </c>
      <c r="X34" s="34"/>
      <c r="Y34" s="34">
        <v>100</v>
      </c>
      <c r="Z34" s="34">
        <v>35</v>
      </c>
      <c r="AA34" s="24" t="s">
        <v>29</v>
      </c>
      <c r="AB34" s="16"/>
      <c r="AC34" s="16" t="s">
        <v>73</v>
      </c>
      <c r="AD34" s="16"/>
      <c r="AE34" s="16"/>
      <c r="AF34" s="16"/>
      <c r="AG34" s="16"/>
    </row>
    <row r="35" spans="1:37" ht="30" hidden="1" customHeight="1" x14ac:dyDescent="0.25">
      <c r="A35" s="31">
        <v>23</v>
      </c>
      <c r="B35" s="32" t="s">
        <v>74</v>
      </c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>
        <v>0</v>
      </c>
      <c r="X35" s="34"/>
      <c r="Y35" s="34">
        <v>100</v>
      </c>
      <c r="Z35" s="34">
        <v>26</v>
      </c>
      <c r="AA35" s="24" t="s">
        <v>29</v>
      </c>
      <c r="AB35" s="16"/>
      <c r="AC35" s="16" t="s">
        <v>75</v>
      </c>
      <c r="AD35" s="16"/>
      <c r="AE35" s="16"/>
      <c r="AF35" s="16"/>
      <c r="AG35" s="16"/>
    </row>
    <row r="36" spans="1:37" ht="30" hidden="1" customHeight="1" x14ac:dyDescent="0.25">
      <c r="A36" s="31">
        <v>24</v>
      </c>
      <c r="B36" s="32" t="s">
        <v>76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>
        <v>0</v>
      </c>
      <c r="X36" s="34"/>
      <c r="Y36" s="34">
        <v>100</v>
      </c>
      <c r="Z36" s="34">
        <v>49</v>
      </c>
      <c r="AA36" s="24" t="s">
        <v>29</v>
      </c>
      <c r="AB36" s="16"/>
      <c r="AC36" s="16" t="s">
        <v>77</v>
      </c>
      <c r="AD36" s="16"/>
      <c r="AE36" s="16"/>
      <c r="AF36" s="16"/>
      <c r="AG36" s="16"/>
    </row>
    <row r="37" spans="1:37" ht="30" hidden="1" customHeight="1" x14ac:dyDescent="0.25">
      <c r="A37" s="31">
        <v>25</v>
      </c>
      <c r="B37" s="32" t="s">
        <v>78</v>
      </c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>
        <v>0</v>
      </c>
      <c r="X37" s="34"/>
      <c r="Y37" s="34">
        <v>100</v>
      </c>
      <c r="Z37" s="34">
        <v>24</v>
      </c>
      <c r="AA37" s="24" t="s">
        <v>29</v>
      </c>
      <c r="AB37" s="16"/>
      <c r="AC37" s="16" t="s">
        <v>79</v>
      </c>
      <c r="AD37" s="16"/>
      <c r="AE37" s="16"/>
      <c r="AF37" s="16"/>
      <c r="AG37" s="16"/>
    </row>
    <row r="38" spans="1:37" ht="30" hidden="1" customHeight="1" x14ac:dyDescent="0.25">
      <c r="A38" s="31">
        <v>26</v>
      </c>
      <c r="B38" s="32" t="s">
        <v>80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>
        <v>100</v>
      </c>
      <c r="Z38" s="34">
        <v>24</v>
      </c>
      <c r="AA38" s="24" t="s">
        <v>29</v>
      </c>
      <c r="AB38" s="16"/>
      <c r="AC38" s="16"/>
      <c r="AD38" s="16"/>
      <c r="AE38" s="16"/>
      <c r="AF38" s="16"/>
      <c r="AG38" s="16"/>
    </row>
    <row r="39" spans="1:37" ht="30" hidden="1" customHeight="1" x14ac:dyDescent="0.25">
      <c r="A39" s="31">
        <v>27</v>
      </c>
      <c r="B39" s="32" t="s">
        <v>81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>
        <v>0</v>
      </c>
      <c r="X39" s="34"/>
      <c r="Y39" s="34">
        <v>100</v>
      </c>
      <c r="Z39" s="34">
        <v>20</v>
      </c>
      <c r="AA39" s="24" t="s">
        <v>29</v>
      </c>
      <c r="AB39" s="16"/>
      <c r="AC39" s="16"/>
      <c r="AD39" s="16"/>
      <c r="AE39" s="16"/>
      <c r="AF39" s="16"/>
      <c r="AG39" s="16"/>
    </row>
    <row r="40" spans="1:37" ht="30" hidden="1" customHeight="1" x14ac:dyDescent="0.25">
      <c r="A40" s="31">
        <v>28</v>
      </c>
      <c r="B40" s="32" t="s">
        <v>82</v>
      </c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>
        <v>0</v>
      </c>
      <c r="X40" s="34"/>
      <c r="Y40" s="34">
        <v>100</v>
      </c>
      <c r="Z40" s="34">
        <v>52</v>
      </c>
      <c r="AA40" s="24" t="s">
        <v>29</v>
      </c>
      <c r="AB40" s="16"/>
      <c r="AC40" s="16" t="s">
        <v>83</v>
      </c>
      <c r="AD40" s="16"/>
      <c r="AE40" s="16"/>
      <c r="AF40" s="16"/>
      <c r="AG40" s="16"/>
    </row>
    <row r="41" spans="1:37" ht="30" hidden="1" customHeight="1" x14ac:dyDescent="0.25">
      <c r="A41" s="31">
        <v>29</v>
      </c>
      <c r="B41" s="32" t="s">
        <v>84</v>
      </c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>
        <v>0</v>
      </c>
      <c r="X41" s="34"/>
      <c r="Y41" s="34">
        <v>100</v>
      </c>
      <c r="Z41" s="34">
        <v>48</v>
      </c>
      <c r="AA41" s="24" t="s">
        <v>29</v>
      </c>
      <c r="AB41" s="16"/>
      <c r="AC41" s="16" t="s">
        <v>85</v>
      </c>
      <c r="AD41" s="16"/>
      <c r="AE41" s="16"/>
      <c r="AF41" s="16"/>
      <c r="AG41" s="16"/>
    </row>
    <row r="42" spans="1:37" ht="30" hidden="1" customHeight="1" x14ac:dyDescent="0.25">
      <c r="A42" s="35">
        <v>30</v>
      </c>
      <c r="B42" s="32" t="s">
        <v>86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>
        <v>100</v>
      </c>
      <c r="Z42" s="34">
        <v>20</v>
      </c>
      <c r="AA42" s="24" t="s">
        <v>29</v>
      </c>
      <c r="AB42" s="16"/>
      <c r="AC42" s="16" t="s">
        <v>87</v>
      </c>
      <c r="AD42" s="16"/>
      <c r="AE42" s="16"/>
      <c r="AF42" s="16"/>
      <c r="AG42" s="16"/>
    </row>
    <row r="43" spans="1:37" ht="30" hidden="1" customHeight="1" x14ac:dyDescent="0.25">
      <c r="A43" s="35">
        <v>31</v>
      </c>
      <c r="B43" s="36" t="s">
        <v>88</v>
      </c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>
        <v>100</v>
      </c>
      <c r="Z43" s="34">
        <v>70</v>
      </c>
      <c r="AA43" s="24" t="s">
        <v>29</v>
      </c>
      <c r="AB43" s="16"/>
      <c r="AC43" s="16" t="s">
        <v>89</v>
      </c>
      <c r="AD43" s="16"/>
      <c r="AE43" s="16"/>
      <c r="AF43" s="16"/>
      <c r="AG43" s="16"/>
    </row>
    <row r="44" spans="1:37" ht="30" hidden="1" customHeight="1" x14ac:dyDescent="0.25">
      <c r="A44" s="35">
        <v>32</v>
      </c>
      <c r="B44" s="36" t="s">
        <v>90</v>
      </c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>
        <v>0</v>
      </c>
      <c r="X44" s="34"/>
      <c r="Y44" s="34">
        <v>100</v>
      </c>
      <c r="Z44" s="34">
        <v>38</v>
      </c>
      <c r="AA44" s="24" t="s">
        <v>29</v>
      </c>
      <c r="AB44" s="16"/>
      <c r="AC44" s="16"/>
      <c r="AD44" s="16"/>
      <c r="AE44" s="16"/>
      <c r="AF44" s="16"/>
      <c r="AG44" s="16"/>
    </row>
    <row r="45" spans="1:37" ht="30" hidden="1" customHeight="1" x14ac:dyDescent="0.25">
      <c r="A45" s="35">
        <v>33</v>
      </c>
      <c r="B45" s="36" t="s">
        <v>91</v>
      </c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>
        <v>100</v>
      </c>
      <c r="Z45" s="34">
        <v>32</v>
      </c>
      <c r="AA45" s="24" t="s">
        <v>29</v>
      </c>
      <c r="AB45" s="16"/>
      <c r="AC45" s="16"/>
      <c r="AD45" s="16"/>
      <c r="AE45" s="16"/>
      <c r="AF45" s="16"/>
      <c r="AG45" s="16">
        <v>202</v>
      </c>
    </row>
    <row r="46" spans="1:37" ht="30" hidden="1" customHeight="1" x14ac:dyDescent="0.25">
      <c r="A46" s="35">
        <v>34</v>
      </c>
      <c r="B46" s="36" t="s">
        <v>92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>
        <v>100</v>
      </c>
      <c r="Z46" s="34">
        <v>25</v>
      </c>
      <c r="AA46" s="24" t="s">
        <v>29</v>
      </c>
      <c r="AB46" s="16"/>
      <c r="AC46" s="16"/>
      <c r="AD46" s="16"/>
      <c r="AE46" s="16"/>
      <c r="AF46" s="16"/>
      <c r="AG46" s="16">
        <f>Z48-202</f>
        <v>973.5</v>
      </c>
    </row>
    <row r="47" spans="1:37" ht="48" hidden="1" customHeight="1" x14ac:dyDescent="0.2">
      <c r="A47" s="37">
        <v>35</v>
      </c>
      <c r="B47" s="38" t="s">
        <v>93</v>
      </c>
      <c r="C47" s="39"/>
      <c r="D47" s="40"/>
      <c r="E47" s="39"/>
      <c r="F47" s="40"/>
      <c r="G47" s="39"/>
      <c r="H47" s="40"/>
      <c r="I47" s="39"/>
      <c r="J47" s="40"/>
      <c r="K47" s="39"/>
      <c r="L47" s="40"/>
      <c r="M47" s="41"/>
      <c r="N47" s="42"/>
      <c r="O47" s="41"/>
      <c r="P47" s="42"/>
      <c r="Q47" s="41"/>
      <c r="R47" s="42"/>
      <c r="S47" s="41"/>
      <c r="T47" s="42"/>
      <c r="U47" s="41"/>
      <c r="V47" s="42"/>
      <c r="W47" s="43">
        <v>0</v>
      </c>
      <c r="X47" s="43"/>
      <c r="Y47" s="34">
        <v>100</v>
      </c>
      <c r="Z47" s="43">
        <v>42</v>
      </c>
      <c r="AA47" s="24" t="s">
        <v>29</v>
      </c>
      <c r="AB47" s="16"/>
      <c r="AC47" s="16" t="s">
        <v>94</v>
      </c>
      <c r="AD47" s="16"/>
      <c r="AE47" s="16"/>
      <c r="AF47" s="16"/>
      <c r="AG47" s="16"/>
    </row>
    <row r="48" spans="1:37" ht="48" hidden="1" customHeight="1" x14ac:dyDescent="0.2">
      <c r="A48" s="187"/>
      <c r="B48" s="181"/>
      <c r="C48" s="39">
        <f>(SUM(C13:C31)/19)/100</f>
        <v>0</v>
      </c>
      <c r="D48" s="40">
        <f>SUM(D13:D31)</f>
        <v>0</v>
      </c>
      <c r="E48" s="39">
        <f>(SUM(E13:E31)/19)/100</f>
        <v>0</v>
      </c>
      <c r="F48" s="40">
        <f>SUM(F13:F31)</f>
        <v>0</v>
      </c>
      <c r="G48" s="39">
        <f>(SUM(G13:G31)/19)/100</f>
        <v>0</v>
      </c>
      <c r="H48" s="40">
        <f>SUM(H13:H31)</f>
        <v>0</v>
      </c>
      <c r="I48" s="39">
        <f>(SUM(I13:I31)/19)/100</f>
        <v>0</v>
      </c>
      <c r="J48" s="40">
        <f>SUM(J13:J31)</f>
        <v>0</v>
      </c>
      <c r="K48" s="39">
        <f>(SUM(K13:K31)/19)/100</f>
        <v>0</v>
      </c>
      <c r="L48" s="40">
        <f>SUM(L13:L31)</f>
        <v>0</v>
      </c>
      <c r="M48" s="41">
        <f>(SUM(M13:M31)/19)/100</f>
        <v>1.0047368421052631E-2</v>
      </c>
      <c r="N48" s="42">
        <f>SUM(N13:N31)</f>
        <v>0</v>
      </c>
      <c r="O48" s="41">
        <f>(SUM(O13:O31)/19)/100</f>
        <v>0.12886315789473685</v>
      </c>
      <c r="P48" s="42">
        <f>SUM(P13:P31)</f>
        <v>0</v>
      </c>
      <c r="Q48" s="41">
        <f>(SUM(Q13:Q31)/19)/100</f>
        <v>0.22904736842105261</v>
      </c>
      <c r="R48" s="42">
        <f>SUM(R13:R31)</f>
        <v>121</v>
      </c>
      <c r="S48" s="41">
        <f>(SUM(S13:S31)/19)/100</f>
        <v>0.53726842105263151</v>
      </c>
      <c r="T48" s="42">
        <f>SUM(T13:T31)</f>
        <v>263</v>
      </c>
      <c r="U48" s="41">
        <f>(SUM(U13:U47)/35)/100</f>
        <v>0.43929714285714283</v>
      </c>
      <c r="V48" s="42">
        <f>SUM(V13:V47)</f>
        <v>427.5</v>
      </c>
      <c r="W48" s="41">
        <f>(SUM(W13:W47)/35)/100</f>
        <v>0.51173999999999997</v>
      </c>
      <c r="X48" s="42">
        <f>SUM(X13:X47)</f>
        <v>514.5</v>
      </c>
      <c r="Y48" s="44">
        <f>(SUM(Y13:Y47)/35)/100</f>
        <v>1</v>
      </c>
      <c r="Z48" s="45">
        <f>SUM(Z13:Z47)</f>
        <v>1175.5</v>
      </c>
      <c r="AA48" s="10"/>
      <c r="AB48" s="16"/>
      <c r="AC48" s="16"/>
      <c r="AD48" s="16"/>
      <c r="AE48" s="16"/>
      <c r="AF48" s="16"/>
      <c r="AG48" s="16"/>
    </row>
    <row r="49" spans="1:37" ht="33" hidden="1" customHeight="1" x14ac:dyDescent="0.2">
      <c r="A49" s="21" t="s">
        <v>95</v>
      </c>
      <c r="B49" s="22" t="s">
        <v>96</v>
      </c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47"/>
      <c r="Z49" s="47"/>
      <c r="AA49" s="14"/>
      <c r="AB49" s="48"/>
      <c r="AC49" s="49"/>
      <c r="AD49" s="16"/>
      <c r="AE49" s="16"/>
      <c r="AF49" s="16"/>
      <c r="AG49" s="16"/>
    </row>
    <row r="50" spans="1:37" ht="42" hidden="1" customHeight="1" x14ac:dyDescent="0.2">
      <c r="A50" s="24">
        <v>1</v>
      </c>
      <c r="B50" s="25" t="s">
        <v>97</v>
      </c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8"/>
      <c r="N50" s="28"/>
      <c r="O50" s="28">
        <v>0</v>
      </c>
      <c r="P50" s="28"/>
      <c r="Q50" s="28">
        <v>0</v>
      </c>
      <c r="R50" s="28"/>
      <c r="S50" s="28">
        <v>0.5</v>
      </c>
      <c r="T50" s="28"/>
      <c r="U50" s="28">
        <v>0.5</v>
      </c>
      <c r="V50" s="28"/>
      <c r="W50" s="28">
        <v>100</v>
      </c>
      <c r="X50" s="28">
        <v>1150</v>
      </c>
      <c r="Y50" s="28">
        <v>100</v>
      </c>
      <c r="Z50" s="28">
        <v>1150</v>
      </c>
      <c r="AA50" s="24" t="s">
        <v>29</v>
      </c>
      <c r="AB50" s="16" t="s">
        <v>98</v>
      </c>
      <c r="AC50" s="16"/>
      <c r="AD50" s="16"/>
      <c r="AE50" s="16"/>
      <c r="AF50" s="16"/>
      <c r="AG50" s="16"/>
    </row>
    <row r="51" spans="1:37" ht="30" hidden="1" customHeight="1" x14ac:dyDescent="0.2">
      <c r="A51" s="24">
        <v>2</v>
      </c>
      <c r="B51" s="25" t="s">
        <v>99</v>
      </c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8"/>
      <c r="N51" s="28"/>
      <c r="O51" s="28"/>
      <c r="P51" s="28"/>
      <c r="Q51" s="28">
        <v>65</v>
      </c>
      <c r="R51" s="28"/>
      <c r="S51" s="28">
        <v>100</v>
      </c>
      <c r="T51" s="28">
        <v>1150</v>
      </c>
      <c r="U51" s="28">
        <v>100</v>
      </c>
      <c r="V51" s="28">
        <v>1150</v>
      </c>
      <c r="W51" s="28">
        <v>100</v>
      </c>
      <c r="X51" s="28">
        <v>1150</v>
      </c>
      <c r="Y51" s="28">
        <v>100</v>
      </c>
      <c r="Z51" s="28">
        <v>1150</v>
      </c>
      <c r="AA51" s="24" t="s">
        <v>29</v>
      </c>
      <c r="AB51" s="16" t="s">
        <v>100</v>
      </c>
      <c r="AC51" s="16" t="s">
        <v>101</v>
      </c>
      <c r="AD51" s="16"/>
      <c r="AE51" s="16"/>
      <c r="AF51" s="16"/>
      <c r="AG51" s="16"/>
    </row>
    <row r="52" spans="1:37" ht="30" hidden="1" customHeight="1" x14ac:dyDescent="0.2">
      <c r="A52" s="24">
        <v>3</v>
      </c>
      <c r="B52" s="25" t="s">
        <v>102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8">
        <v>0</v>
      </c>
      <c r="N52" s="28"/>
      <c r="O52" s="28">
        <v>21.38</v>
      </c>
      <c r="P52" s="28"/>
      <c r="Q52" s="28">
        <v>62.02</v>
      </c>
      <c r="R52" s="28"/>
      <c r="S52" s="28">
        <v>91.62</v>
      </c>
      <c r="T52" s="28"/>
      <c r="U52" s="28">
        <v>100</v>
      </c>
      <c r="V52" s="28">
        <v>5827</v>
      </c>
      <c r="W52" s="28">
        <v>100</v>
      </c>
      <c r="X52" s="28">
        <v>5827</v>
      </c>
      <c r="Y52" s="28">
        <v>100</v>
      </c>
      <c r="Z52" s="28">
        <v>5827</v>
      </c>
      <c r="AA52" s="24" t="s">
        <v>29</v>
      </c>
      <c r="AB52" s="16" t="s">
        <v>103</v>
      </c>
      <c r="AC52" s="16"/>
      <c r="AD52" s="16"/>
      <c r="AE52" s="16"/>
      <c r="AF52" s="16"/>
      <c r="AG52" s="16"/>
    </row>
    <row r="53" spans="1:37" ht="30" hidden="1" customHeight="1" x14ac:dyDescent="0.2">
      <c r="A53" s="24">
        <v>4</v>
      </c>
      <c r="B53" s="25" t="s">
        <v>104</v>
      </c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8">
        <v>0</v>
      </c>
      <c r="N53" s="28"/>
      <c r="O53" s="28">
        <v>0</v>
      </c>
      <c r="P53" s="28"/>
      <c r="Q53" s="28"/>
      <c r="R53" s="28"/>
      <c r="S53" s="28">
        <v>59.76</v>
      </c>
      <c r="T53" s="28"/>
      <c r="U53" s="28">
        <v>100</v>
      </c>
      <c r="V53" s="28"/>
      <c r="W53" s="28">
        <v>100</v>
      </c>
      <c r="X53" s="50">
        <v>5180</v>
      </c>
      <c r="Y53" s="28">
        <v>100</v>
      </c>
      <c r="Z53" s="50">
        <v>5180</v>
      </c>
      <c r="AA53" s="24" t="s">
        <v>29</v>
      </c>
      <c r="AB53" s="16" t="s">
        <v>105</v>
      </c>
      <c r="AC53" s="16"/>
      <c r="AD53" s="16"/>
      <c r="AE53" s="16"/>
      <c r="AF53" s="16"/>
      <c r="AG53" s="16"/>
    </row>
    <row r="54" spans="1:37" ht="30" hidden="1" customHeight="1" x14ac:dyDescent="0.2">
      <c r="A54" s="24">
        <v>5</v>
      </c>
      <c r="B54" s="25" t="s">
        <v>106</v>
      </c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8"/>
      <c r="N54" s="28"/>
      <c r="O54" s="28"/>
      <c r="P54" s="28"/>
      <c r="Q54" s="28">
        <v>0</v>
      </c>
      <c r="R54" s="28"/>
      <c r="S54" s="28">
        <v>100</v>
      </c>
      <c r="T54" s="28"/>
      <c r="U54" s="28">
        <v>100</v>
      </c>
      <c r="V54" s="28"/>
      <c r="W54" s="28">
        <v>100</v>
      </c>
      <c r="X54" s="28">
        <v>2806</v>
      </c>
      <c r="Y54" s="28">
        <v>100</v>
      </c>
      <c r="Z54" s="28">
        <v>2806</v>
      </c>
      <c r="AA54" s="24" t="s">
        <v>29</v>
      </c>
      <c r="AB54" s="16" t="s">
        <v>107</v>
      </c>
      <c r="AC54" s="16"/>
      <c r="AD54" s="16"/>
      <c r="AE54" s="16"/>
      <c r="AF54" s="16"/>
      <c r="AG54" s="16"/>
    </row>
    <row r="55" spans="1:37" ht="30" hidden="1" customHeight="1" x14ac:dyDescent="0.2">
      <c r="A55" s="24">
        <v>6</v>
      </c>
      <c r="B55" s="25" t="s">
        <v>108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8"/>
      <c r="N55" s="28"/>
      <c r="O55" s="28"/>
      <c r="P55" s="28"/>
      <c r="Q55" s="28"/>
      <c r="R55" s="28"/>
      <c r="S55" s="28">
        <v>6.03</v>
      </c>
      <c r="T55" s="28"/>
      <c r="U55" s="28">
        <v>6.03</v>
      </c>
      <c r="V55" s="28"/>
      <c r="W55" s="28">
        <v>100</v>
      </c>
      <c r="X55" s="28">
        <v>3980</v>
      </c>
      <c r="Y55" s="28">
        <v>100</v>
      </c>
      <c r="Z55" s="28">
        <v>3980</v>
      </c>
      <c r="AA55" s="24" t="s">
        <v>29</v>
      </c>
      <c r="AB55" s="16" t="s">
        <v>109</v>
      </c>
      <c r="AC55" s="16" t="s">
        <v>110</v>
      </c>
      <c r="AD55" s="16"/>
      <c r="AE55" s="16"/>
      <c r="AF55" s="16"/>
      <c r="AG55" s="16"/>
    </row>
    <row r="56" spans="1:37" ht="30" hidden="1" customHeight="1" x14ac:dyDescent="0.2">
      <c r="A56" s="24">
        <v>7</v>
      </c>
      <c r="B56" s="25" t="s">
        <v>111</v>
      </c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8"/>
      <c r="N56" s="28"/>
      <c r="O56" s="28"/>
      <c r="P56" s="28"/>
      <c r="Q56" s="28">
        <v>100</v>
      </c>
      <c r="R56" s="28">
        <v>2515</v>
      </c>
      <c r="S56" s="28">
        <v>100</v>
      </c>
      <c r="T56" s="28">
        <v>2515</v>
      </c>
      <c r="U56" s="28">
        <v>100</v>
      </c>
      <c r="V56" s="28">
        <v>2515</v>
      </c>
      <c r="W56" s="28">
        <v>100</v>
      </c>
      <c r="X56" s="28">
        <v>2515</v>
      </c>
      <c r="Y56" s="28">
        <v>100</v>
      </c>
      <c r="Z56" s="28">
        <v>2515</v>
      </c>
      <c r="AA56" s="24" t="s">
        <v>29</v>
      </c>
      <c r="AB56" s="16" t="s">
        <v>112</v>
      </c>
      <c r="AC56" s="16" t="s">
        <v>113</v>
      </c>
      <c r="AD56" s="16"/>
      <c r="AE56" s="16"/>
      <c r="AF56" s="16"/>
      <c r="AG56" s="16"/>
    </row>
    <row r="57" spans="1:37" ht="30" hidden="1" customHeight="1" x14ac:dyDescent="0.2">
      <c r="A57" s="24">
        <v>8</v>
      </c>
      <c r="B57" s="25" t="s">
        <v>114</v>
      </c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8"/>
      <c r="N57" s="28"/>
      <c r="O57" s="28"/>
      <c r="P57" s="28"/>
      <c r="Q57" s="28">
        <v>0</v>
      </c>
      <c r="R57" s="28"/>
      <c r="S57" s="28">
        <v>19</v>
      </c>
      <c r="T57" s="28"/>
      <c r="U57" s="28">
        <v>100</v>
      </c>
      <c r="V57" s="28"/>
      <c r="W57" s="28">
        <v>100</v>
      </c>
      <c r="X57" s="28">
        <v>2810</v>
      </c>
      <c r="Y57" s="28">
        <v>100</v>
      </c>
      <c r="Z57" s="28">
        <v>2810</v>
      </c>
      <c r="AA57" s="24" t="s">
        <v>29</v>
      </c>
      <c r="AB57" s="16" t="s">
        <v>115</v>
      </c>
      <c r="AC57" s="16"/>
      <c r="AD57" s="16"/>
      <c r="AE57" s="16"/>
      <c r="AF57" s="16"/>
      <c r="AG57" s="16"/>
    </row>
    <row r="58" spans="1:37" ht="30" hidden="1" customHeight="1" x14ac:dyDescent="0.2">
      <c r="A58" s="24">
        <v>9</v>
      </c>
      <c r="B58" s="25" t="s">
        <v>116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8"/>
      <c r="N58" s="28"/>
      <c r="O58" s="28"/>
      <c r="P58" s="28"/>
      <c r="Q58" s="28"/>
      <c r="R58" s="28"/>
      <c r="S58" s="28">
        <v>0.5</v>
      </c>
      <c r="T58" s="28"/>
      <c r="U58" s="28">
        <v>100</v>
      </c>
      <c r="V58" s="28"/>
      <c r="W58" s="28">
        <v>100</v>
      </c>
      <c r="X58" s="28">
        <v>3650</v>
      </c>
      <c r="Y58" s="28">
        <v>100</v>
      </c>
      <c r="Z58" s="28">
        <v>3650</v>
      </c>
      <c r="AA58" s="24" t="s">
        <v>29</v>
      </c>
      <c r="AB58" s="16" t="s">
        <v>117</v>
      </c>
      <c r="AC58" s="16"/>
      <c r="AD58" s="16"/>
      <c r="AE58" s="16"/>
      <c r="AF58" s="16"/>
      <c r="AG58" s="16"/>
    </row>
    <row r="59" spans="1:37" ht="30" hidden="1" customHeight="1" x14ac:dyDescent="0.2">
      <c r="A59" s="24">
        <v>10</v>
      </c>
      <c r="B59" s="25" t="s">
        <v>118</v>
      </c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8"/>
      <c r="N59" s="28"/>
      <c r="O59" s="28"/>
      <c r="P59" s="28"/>
      <c r="Q59" s="28">
        <v>1.48</v>
      </c>
      <c r="R59" s="28"/>
      <c r="S59" s="28">
        <v>35</v>
      </c>
      <c r="T59" s="28"/>
      <c r="U59" s="28">
        <v>100</v>
      </c>
      <c r="V59" s="28"/>
      <c r="W59" s="28">
        <v>100</v>
      </c>
      <c r="X59" s="28">
        <v>2700</v>
      </c>
      <c r="Y59" s="28">
        <v>100</v>
      </c>
      <c r="Z59" s="28">
        <v>2700</v>
      </c>
      <c r="AA59" s="24" t="s">
        <v>29</v>
      </c>
      <c r="AB59" s="16" t="s">
        <v>119</v>
      </c>
      <c r="AC59" s="16"/>
      <c r="AD59" s="16"/>
      <c r="AE59" s="16"/>
      <c r="AF59" s="16"/>
      <c r="AG59" s="16"/>
    </row>
    <row r="60" spans="1:37" ht="30" hidden="1" customHeight="1" x14ac:dyDescent="0.2">
      <c r="A60" s="24">
        <v>11</v>
      </c>
      <c r="B60" s="25" t="s">
        <v>120</v>
      </c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8"/>
      <c r="N60" s="28"/>
      <c r="O60" s="28"/>
      <c r="P60" s="28"/>
      <c r="Q60" s="28">
        <v>100</v>
      </c>
      <c r="R60" s="28">
        <v>2578</v>
      </c>
      <c r="S60" s="28">
        <v>100</v>
      </c>
      <c r="T60" s="28">
        <v>2578</v>
      </c>
      <c r="U60" s="28">
        <v>100</v>
      </c>
      <c r="V60" s="28">
        <v>2578</v>
      </c>
      <c r="W60" s="28">
        <v>100</v>
      </c>
      <c r="X60" s="28">
        <v>2578</v>
      </c>
      <c r="Y60" s="28">
        <v>100</v>
      </c>
      <c r="Z60" s="28">
        <v>2578</v>
      </c>
      <c r="AA60" s="24" t="s">
        <v>29</v>
      </c>
      <c r="AB60" s="16" t="s">
        <v>121</v>
      </c>
      <c r="AC60" s="16" t="s">
        <v>122</v>
      </c>
      <c r="AD60" s="16"/>
      <c r="AE60" s="16"/>
      <c r="AF60" s="16"/>
      <c r="AG60" s="16"/>
    </row>
    <row r="61" spans="1:37" ht="30" hidden="1" customHeight="1" x14ac:dyDescent="0.2">
      <c r="A61" s="24">
        <v>12</v>
      </c>
      <c r="B61" s="25" t="s">
        <v>123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8">
        <v>0</v>
      </c>
      <c r="N61" s="28"/>
      <c r="O61" s="28">
        <v>7.5</v>
      </c>
      <c r="P61" s="28"/>
      <c r="Q61" s="28">
        <v>7.5</v>
      </c>
      <c r="R61" s="28"/>
      <c r="S61" s="28">
        <v>100</v>
      </c>
      <c r="T61" s="28"/>
      <c r="U61" s="28">
        <v>100</v>
      </c>
      <c r="V61" s="50">
        <v>3020</v>
      </c>
      <c r="W61" s="28">
        <v>100</v>
      </c>
      <c r="X61" s="50">
        <v>3020</v>
      </c>
      <c r="Y61" s="28">
        <v>100</v>
      </c>
      <c r="Z61" s="50">
        <v>3020</v>
      </c>
      <c r="AA61" s="24" t="s">
        <v>29</v>
      </c>
      <c r="AB61" s="16" t="s">
        <v>124</v>
      </c>
      <c r="AC61" s="16"/>
      <c r="AD61" s="16"/>
      <c r="AE61" s="16"/>
      <c r="AF61" s="16"/>
      <c r="AG61" s="16"/>
    </row>
    <row r="62" spans="1:37" ht="30" hidden="1" customHeight="1" x14ac:dyDescent="0.2">
      <c r="A62" s="24">
        <v>13</v>
      </c>
      <c r="B62" s="25" t="s">
        <v>125</v>
      </c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8">
        <v>0</v>
      </c>
      <c r="N62" s="28"/>
      <c r="O62" s="28">
        <v>7.5</v>
      </c>
      <c r="P62" s="28"/>
      <c r="Q62" s="28">
        <v>7.5</v>
      </c>
      <c r="R62" s="28"/>
      <c r="S62" s="28">
        <v>7.5</v>
      </c>
      <c r="T62" s="28"/>
      <c r="U62" s="28">
        <v>100</v>
      </c>
      <c r="V62" s="28">
        <v>2418</v>
      </c>
      <c r="W62" s="28">
        <v>100</v>
      </c>
      <c r="X62" s="28">
        <v>2418</v>
      </c>
      <c r="Y62" s="28">
        <v>100</v>
      </c>
      <c r="Z62" s="28">
        <v>2418</v>
      </c>
      <c r="AA62" s="24" t="s">
        <v>29</v>
      </c>
      <c r="AB62" s="16" t="s">
        <v>126</v>
      </c>
      <c r="AC62" s="16"/>
      <c r="AD62" s="16"/>
      <c r="AE62" s="16"/>
      <c r="AF62" s="16"/>
      <c r="AG62" s="16"/>
    </row>
    <row r="63" spans="1:37" ht="30" hidden="1" customHeight="1" x14ac:dyDescent="0.2">
      <c r="A63" s="24">
        <v>14</v>
      </c>
      <c r="B63" s="25" t="s">
        <v>127</v>
      </c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8"/>
      <c r="N63" s="28"/>
      <c r="O63" s="28"/>
      <c r="P63" s="28"/>
      <c r="Q63" s="28">
        <v>0</v>
      </c>
      <c r="R63" s="28"/>
      <c r="S63" s="28">
        <v>59</v>
      </c>
      <c r="T63" s="28"/>
      <c r="U63" s="28">
        <v>100</v>
      </c>
      <c r="V63" s="28">
        <v>2200</v>
      </c>
      <c r="W63" s="28">
        <v>100</v>
      </c>
      <c r="X63" s="28">
        <v>2200</v>
      </c>
      <c r="Y63" s="28">
        <v>100</v>
      </c>
      <c r="Z63" s="28">
        <v>2200</v>
      </c>
      <c r="AA63" s="24" t="s">
        <v>29</v>
      </c>
      <c r="AB63" s="16" t="s">
        <v>128</v>
      </c>
      <c r="AC63" s="16"/>
      <c r="AD63" s="16"/>
      <c r="AE63" s="16"/>
      <c r="AF63" s="16"/>
      <c r="AG63" s="16"/>
    </row>
    <row r="64" spans="1:37" ht="30" hidden="1" customHeight="1" x14ac:dyDescent="0.2">
      <c r="A64" s="24">
        <v>15</v>
      </c>
      <c r="B64" s="25" t="s">
        <v>129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8">
        <v>0</v>
      </c>
      <c r="N64" s="28"/>
      <c r="O64" s="28">
        <v>1.97</v>
      </c>
      <c r="P64" s="28"/>
      <c r="Q64" s="28">
        <v>100</v>
      </c>
      <c r="R64" s="28">
        <v>2740</v>
      </c>
      <c r="S64" s="28">
        <v>100</v>
      </c>
      <c r="T64" s="28">
        <v>2740</v>
      </c>
      <c r="U64" s="28">
        <v>100</v>
      </c>
      <c r="V64" s="28">
        <v>2740</v>
      </c>
      <c r="W64" s="28">
        <v>100</v>
      </c>
      <c r="X64" s="28">
        <v>2740</v>
      </c>
      <c r="Y64" s="28">
        <v>100</v>
      </c>
      <c r="Z64" s="28">
        <v>2740</v>
      </c>
      <c r="AA64" s="24" t="s">
        <v>29</v>
      </c>
      <c r="AB64" s="16" t="s">
        <v>130</v>
      </c>
      <c r="AC64" s="16"/>
      <c r="AD64" s="16"/>
      <c r="AE64" s="16"/>
      <c r="AF64" s="16"/>
      <c r="AG64" s="16"/>
    </row>
    <row r="65" spans="1:37" ht="30" hidden="1" customHeight="1" x14ac:dyDescent="0.2">
      <c r="A65" s="24">
        <v>16</v>
      </c>
      <c r="B65" s="25" t="s">
        <v>131</v>
      </c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8"/>
      <c r="N65" s="28"/>
      <c r="O65" s="28"/>
      <c r="P65" s="28"/>
      <c r="Q65" s="28">
        <v>100</v>
      </c>
      <c r="R65" s="28">
        <v>1600.3</v>
      </c>
      <c r="S65" s="28">
        <v>100</v>
      </c>
      <c r="T65" s="28">
        <v>1600.3</v>
      </c>
      <c r="U65" s="28">
        <v>100</v>
      </c>
      <c r="V65" s="28">
        <v>1600.3</v>
      </c>
      <c r="W65" s="28">
        <v>100</v>
      </c>
      <c r="X65" s="28">
        <v>1600.3</v>
      </c>
      <c r="Y65" s="28">
        <v>100</v>
      </c>
      <c r="Z65" s="28">
        <v>1600.3</v>
      </c>
      <c r="AA65" s="24" t="s">
        <v>29</v>
      </c>
      <c r="AB65" s="16" t="s">
        <v>132</v>
      </c>
      <c r="AC65" s="16"/>
      <c r="AD65" s="16"/>
      <c r="AE65" s="16"/>
      <c r="AF65" s="16"/>
      <c r="AG65" s="16"/>
    </row>
    <row r="66" spans="1:37" ht="30" hidden="1" customHeight="1" x14ac:dyDescent="0.2">
      <c r="A66" s="24">
        <v>17</v>
      </c>
      <c r="B66" s="25" t="s">
        <v>133</v>
      </c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8"/>
      <c r="N66" s="28"/>
      <c r="O66" s="28"/>
      <c r="P66" s="28"/>
      <c r="Q66" s="28"/>
      <c r="R66" s="28"/>
      <c r="S66" s="28">
        <v>0.5</v>
      </c>
      <c r="T66" s="28"/>
      <c r="U66" s="28">
        <v>53.57</v>
      </c>
      <c r="V66" s="28"/>
      <c r="W66" s="28">
        <v>100</v>
      </c>
      <c r="X66" s="28">
        <v>3500</v>
      </c>
      <c r="Y66" s="28">
        <v>100</v>
      </c>
      <c r="Z66" s="28">
        <v>3500</v>
      </c>
      <c r="AA66" s="24" t="s">
        <v>29</v>
      </c>
      <c r="AB66" s="16" t="s">
        <v>134</v>
      </c>
      <c r="AC66" s="16" t="s">
        <v>135</v>
      </c>
      <c r="AD66" s="16"/>
      <c r="AE66" s="16"/>
      <c r="AF66" s="16"/>
      <c r="AG66" s="16"/>
    </row>
    <row r="67" spans="1:37" ht="30" hidden="1" customHeight="1" x14ac:dyDescent="0.2">
      <c r="A67" s="24">
        <v>18</v>
      </c>
      <c r="B67" s="25" t="s">
        <v>136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8"/>
      <c r="N67" s="28"/>
      <c r="O67" s="28"/>
      <c r="P67" s="28"/>
      <c r="Q67" s="28">
        <v>0</v>
      </c>
      <c r="R67" s="28"/>
      <c r="S67" s="28">
        <v>100</v>
      </c>
      <c r="T67" s="50">
        <v>2365</v>
      </c>
      <c r="U67" s="28">
        <v>100</v>
      </c>
      <c r="V67" s="50">
        <v>2365</v>
      </c>
      <c r="W67" s="28">
        <v>100</v>
      </c>
      <c r="X67" s="50">
        <v>2365</v>
      </c>
      <c r="Y67" s="28">
        <v>100</v>
      </c>
      <c r="Z67" s="50">
        <v>2365</v>
      </c>
      <c r="AA67" s="24" t="s">
        <v>29</v>
      </c>
      <c r="AB67" s="16" t="s">
        <v>137</v>
      </c>
      <c r="AC67" s="16"/>
      <c r="AD67" s="16"/>
      <c r="AE67" s="16"/>
      <c r="AF67" s="16"/>
      <c r="AG67" s="16"/>
    </row>
    <row r="68" spans="1:37" ht="30" hidden="1" customHeight="1" x14ac:dyDescent="0.2">
      <c r="A68" s="24">
        <v>19</v>
      </c>
      <c r="B68" s="25" t="s">
        <v>138</v>
      </c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8"/>
      <c r="N68" s="28"/>
      <c r="O68" s="28">
        <v>1.58</v>
      </c>
      <c r="P68" s="28"/>
      <c r="Q68" s="28">
        <v>1.58</v>
      </c>
      <c r="R68" s="28"/>
      <c r="S68" s="28">
        <v>100</v>
      </c>
      <c r="T68" s="28">
        <v>2193</v>
      </c>
      <c r="U68" s="28">
        <v>100</v>
      </c>
      <c r="V68" s="28">
        <v>2193</v>
      </c>
      <c r="W68" s="28">
        <v>100</v>
      </c>
      <c r="X68" s="28">
        <v>2193</v>
      </c>
      <c r="Y68" s="28">
        <v>100</v>
      </c>
      <c r="Z68" s="28">
        <v>2193</v>
      </c>
      <c r="AA68" s="24" t="s">
        <v>29</v>
      </c>
      <c r="AB68" s="16" t="s">
        <v>139</v>
      </c>
      <c r="AC68" s="16"/>
      <c r="AD68" s="16"/>
      <c r="AE68" s="16"/>
      <c r="AF68" s="16"/>
      <c r="AG68" s="16"/>
    </row>
    <row r="69" spans="1:37" ht="30" hidden="1" customHeight="1" x14ac:dyDescent="0.2">
      <c r="A69" s="24">
        <v>20</v>
      </c>
      <c r="B69" s="25" t="s">
        <v>140</v>
      </c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8"/>
      <c r="N69" s="28"/>
      <c r="O69" s="28"/>
      <c r="P69" s="28"/>
      <c r="Q69" s="28">
        <v>0</v>
      </c>
      <c r="R69" s="28"/>
      <c r="S69" s="28">
        <v>10</v>
      </c>
      <c r="T69" s="28"/>
      <c r="U69" s="28">
        <v>100</v>
      </c>
      <c r="V69" s="28"/>
      <c r="W69" s="28">
        <v>100</v>
      </c>
      <c r="X69" s="28">
        <v>1375</v>
      </c>
      <c r="Y69" s="28">
        <v>100</v>
      </c>
      <c r="Z69" s="28">
        <v>1375</v>
      </c>
      <c r="AA69" s="24" t="s">
        <v>29</v>
      </c>
      <c r="AB69" s="16" t="s">
        <v>134</v>
      </c>
      <c r="AC69" s="16" t="s">
        <v>141</v>
      </c>
      <c r="AD69" s="16"/>
      <c r="AE69" s="16"/>
      <c r="AF69" s="16"/>
      <c r="AG69" s="16"/>
    </row>
    <row r="70" spans="1:37" ht="30" hidden="1" customHeight="1" x14ac:dyDescent="0.2">
      <c r="A70" s="24">
        <v>21</v>
      </c>
      <c r="B70" s="25" t="s">
        <v>142</v>
      </c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8">
        <v>0</v>
      </c>
      <c r="N70" s="28"/>
      <c r="O70" s="28">
        <v>100</v>
      </c>
      <c r="P70" s="28">
        <v>2000</v>
      </c>
      <c r="Q70" s="28">
        <v>100</v>
      </c>
      <c r="R70" s="28">
        <v>2000</v>
      </c>
      <c r="S70" s="28">
        <v>100</v>
      </c>
      <c r="T70" s="28">
        <v>2000</v>
      </c>
      <c r="U70" s="28">
        <v>100</v>
      </c>
      <c r="V70" s="28">
        <v>2000</v>
      </c>
      <c r="W70" s="28">
        <v>100</v>
      </c>
      <c r="X70" s="28">
        <v>2000</v>
      </c>
      <c r="Y70" s="28">
        <v>100</v>
      </c>
      <c r="Z70" s="28">
        <v>2000</v>
      </c>
      <c r="AA70" s="24" t="s">
        <v>29</v>
      </c>
      <c r="AB70" s="16" t="s">
        <v>143</v>
      </c>
      <c r="AC70" s="16"/>
      <c r="AD70" s="16"/>
      <c r="AE70" s="16"/>
      <c r="AF70" s="16"/>
      <c r="AG70" s="16"/>
    </row>
    <row r="71" spans="1:37" ht="30" hidden="1" customHeight="1" x14ac:dyDescent="0.2">
      <c r="A71" s="24">
        <v>22</v>
      </c>
      <c r="B71" s="25" t="s">
        <v>144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8">
        <v>0</v>
      </c>
      <c r="N71" s="28"/>
      <c r="O71" s="28">
        <v>12</v>
      </c>
      <c r="P71" s="28"/>
      <c r="Q71" s="28">
        <v>100</v>
      </c>
      <c r="R71" s="28">
        <v>2900</v>
      </c>
      <c r="S71" s="28">
        <v>100</v>
      </c>
      <c r="T71" s="28">
        <v>2900</v>
      </c>
      <c r="U71" s="28">
        <v>100</v>
      </c>
      <c r="V71" s="28">
        <v>2900</v>
      </c>
      <c r="W71" s="28">
        <v>100</v>
      </c>
      <c r="X71" s="28">
        <v>2900</v>
      </c>
      <c r="Y71" s="28">
        <v>100</v>
      </c>
      <c r="Z71" s="28">
        <v>2900</v>
      </c>
      <c r="AA71" s="24" t="s">
        <v>29</v>
      </c>
      <c r="AB71" s="16" t="s">
        <v>145</v>
      </c>
      <c r="AC71" s="16"/>
      <c r="AD71" s="16"/>
      <c r="AE71" s="16"/>
      <c r="AF71" s="16"/>
      <c r="AG71" s="16"/>
    </row>
    <row r="72" spans="1:37" ht="30" hidden="1" customHeight="1" x14ac:dyDescent="0.2">
      <c r="A72" s="24">
        <v>23</v>
      </c>
      <c r="B72" s="25" t="s">
        <v>146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8"/>
      <c r="N72" s="28"/>
      <c r="O72" s="28"/>
      <c r="P72" s="28"/>
      <c r="Q72" s="28">
        <v>100</v>
      </c>
      <c r="R72" s="28">
        <v>2400</v>
      </c>
      <c r="S72" s="28">
        <v>100</v>
      </c>
      <c r="T72" s="28">
        <v>2400</v>
      </c>
      <c r="U72" s="28">
        <v>100</v>
      </c>
      <c r="V72" s="28">
        <v>2400</v>
      </c>
      <c r="W72" s="28">
        <v>100</v>
      </c>
      <c r="X72" s="28">
        <v>2400</v>
      </c>
      <c r="Y72" s="28">
        <v>100</v>
      </c>
      <c r="Z72" s="28">
        <v>2400</v>
      </c>
      <c r="AA72" s="24" t="s">
        <v>29</v>
      </c>
      <c r="AB72" s="16" t="s">
        <v>147</v>
      </c>
      <c r="AC72" s="16"/>
      <c r="AD72" s="16"/>
      <c r="AE72" s="16"/>
      <c r="AF72" s="16"/>
      <c r="AG72" s="16"/>
    </row>
    <row r="73" spans="1:37" ht="30" hidden="1" customHeight="1" x14ac:dyDescent="0.25">
      <c r="A73" s="31">
        <v>24</v>
      </c>
      <c r="B73" s="36" t="s">
        <v>148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>
        <v>0</v>
      </c>
      <c r="X73" s="34"/>
      <c r="Y73" s="34">
        <v>100</v>
      </c>
      <c r="Z73" s="34">
        <v>2150</v>
      </c>
      <c r="AA73" s="24" t="s">
        <v>29</v>
      </c>
      <c r="AB73" s="16"/>
      <c r="AC73" s="16" t="s">
        <v>149</v>
      </c>
      <c r="AD73" s="16"/>
      <c r="AE73" s="16"/>
      <c r="AF73" s="16"/>
      <c r="AG73" s="16"/>
    </row>
    <row r="74" spans="1:37" ht="30" hidden="1" customHeight="1" x14ac:dyDescent="0.25">
      <c r="A74" s="24">
        <v>25</v>
      </c>
      <c r="B74" s="52" t="s">
        <v>150</v>
      </c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>
        <v>0</v>
      </c>
      <c r="X74" s="34"/>
      <c r="Y74" s="34">
        <v>100</v>
      </c>
      <c r="Z74" s="34">
        <v>2433</v>
      </c>
      <c r="AA74" s="24" t="s">
        <v>29</v>
      </c>
      <c r="AB74" s="16"/>
      <c r="AC74" s="16"/>
      <c r="AD74" s="16"/>
      <c r="AE74" s="16"/>
      <c r="AF74" s="16"/>
      <c r="AG74" s="16"/>
    </row>
    <row r="75" spans="1:37" ht="30" hidden="1" customHeight="1" x14ac:dyDescent="0.25">
      <c r="A75" s="24">
        <v>26</v>
      </c>
      <c r="B75" s="53" t="s">
        <v>151</v>
      </c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54">
        <v>0</v>
      </c>
      <c r="Z75" s="54">
        <v>0</v>
      </c>
      <c r="AA75" s="55" t="s">
        <v>152</v>
      </c>
      <c r="AB75" s="16"/>
      <c r="AC75" s="16" t="s">
        <v>153</v>
      </c>
      <c r="AD75" s="16"/>
      <c r="AE75" s="16"/>
      <c r="AF75" s="16"/>
      <c r="AG75" s="16"/>
    </row>
    <row r="76" spans="1:37" ht="30" hidden="1" customHeight="1" x14ac:dyDescent="0.25">
      <c r="A76" s="24">
        <v>27</v>
      </c>
      <c r="B76" s="36" t="s">
        <v>154</v>
      </c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>
        <v>100</v>
      </c>
      <c r="Z76" s="34">
        <v>3832</v>
      </c>
      <c r="AA76" s="24" t="s">
        <v>29</v>
      </c>
      <c r="AB76" s="16"/>
      <c r="AC76" s="16" t="s">
        <v>155</v>
      </c>
      <c r="AD76" s="16"/>
      <c r="AE76" s="16"/>
      <c r="AF76" s="16"/>
      <c r="AG76" s="16"/>
    </row>
    <row r="77" spans="1:37" ht="30" hidden="1" customHeight="1" x14ac:dyDescent="0.25">
      <c r="A77" s="24">
        <v>28</v>
      </c>
      <c r="B77" s="36" t="s">
        <v>156</v>
      </c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>
        <v>0</v>
      </c>
      <c r="X77" s="34"/>
      <c r="Y77" s="34">
        <v>100</v>
      </c>
      <c r="Z77" s="34">
        <v>4770</v>
      </c>
      <c r="AA77" s="24" t="s">
        <v>29</v>
      </c>
      <c r="AB77" s="16"/>
      <c r="AC77" s="16" t="s">
        <v>157</v>
      </c>
      <c r="AD77" s="16"/>
      <c r="AE77" s="16"/>
      <c r="AF77" s="16"/>
      <c r="AG77" s="16"/>
    </row>
    <row r="78" spans="1:37" ht="30" hidden="1" customHeight="1" x14ac:dyDescent="0.25">
      <c r="A78" s="24">
        <v>29</v>
      </c>
      <c r="B78" s="36" t="s">
        <v>158</v>
      </c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>
        <v>100</v>
      </c>
      <c r="Z78" s="34">
        <v>2350</v>
      </c>
      <c r="AA78" s="24" t="s">
        <v>29</v>
      </c>
      <c r="AB78" s="16"/>
      <c r="AC78" s="16" t="s">
        <v>159</v>
      </c>
      <c r="AD78" s="16"/>
      <c r="AE78" s="16"/>
      <c r="AF78" s="16"/>
      <c r="AG78" s="16"/>
    </row>
    <row r="79" spans="1:37" ht="30" hidden="1" customHeight="1" x14ac:dyDescent="0.25">
      <c r="A79" s="24">
        <v>30</v>
      </c>
      <c r="B79" s="36" t="s">
        <v>160</v>
      </c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>
        <v>100</v>
      </c>
      <c r="Z79" s="34">
        <v>2055</v>
      </c>
      <c r="AA79" s="24" t="s">
        <v>29</v>
      </c>
      <c r="AB79" s="16"/>
      <c r="AC79" s="16" t="s">
        <v>161</v>
      </c>
      <c r="AD79" s="16"/>
      <c r="AE79" s="16"/>
      <c r="AF79" s="16"/>
      <c r="AG79" s="16"/>
    </row>
    <row r="80" spans="1:37" ht="30" hidden="1" customHeight="1" x14ac:dyDescent="0.25">
      <c r="A80" s="24">
        <v>31</v>
      </c>
      <c r="B80" s="36" t="s">
        <v>162</v>
      </c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>
        <v>100</v>
      </c>
      <c r="Z80" s="34">
        <v>4400</v>
      </c>
      <c r="AA80" s="24" t="s">
        <v>29</v>
      </c>
      <c r="AB80" s="16"/>
      <c r="AC80" s="16" t="s">
        <v>163</v>
      </c>
      <c r="AD80" s="16"/>
      <c r="AE80" s="16"/>
      <c r="AF80" s="16"/>
      <c r="AG80" s="16"/>
    </row>
    <row r="81" spans="1:37" ht="36" hidden="1" customHeight="1" x14ac:dyDescent="0.2">
      <c r="A81" s="56">
        <v>32</v>
      </c>
      <c r="B81" s="57" t="s">
        <v>164</v>
      </c>
      <c r="C81" s="39"/>
      <c r="D81" s="40"/>
      <c r="E81" s="39"/>
      <c r="F81" s="40"/>
      <c r="G81" s="39"/>
      <c r="H81" s="40"/>
      <c r="I81" s="39"/>
      <c r="J81" s="40"/>
      <c r="K81" s="39"/>
      <c r="L81" s="40"/>
      <c r="M81" s="41"/>
      <c r="N81" s="42"/>
      <c r="O81" s="41"/>
      <c r="P81" s="42"/>
      <c r="Q81" s="41"/>
      <c r="R81" s="42"/>
      <c r="S81" s="41"/>
      <c r="T81" s="42"/>
      <c r="U81" s="41"/>
      <c r="V81" s="42"/>
      <c r="W81" s="43">
        <v>5</v>
      </c>
      <c r="X81" s="42"/>
      <c r="Y81" s="43">
        <v>100</v>
      </c>
      <c r="Z81" s="43">
        <v>1067</v>
      </c>
      <c r="AA81" s="24" t="s">
        <v>29</v>
      </c>
      <c r="AB81" s="16"/>
      <c r="AC81" s="16" t="s">
        <v>165</v>
      </c>
      <c r="AD81" s="16"/>
      <c r="AE81" s="16"/>
      <c r="AF81" s="16"/>
      <c r="AG81" s="16"/>
    </row>
    <row r="82" spans="1:37" ht="45" hidden="1" customHeight="1" x14ac:dyDescent="0.2">
      <c r="A82" s="56">
        <v>33</v>
      </c>
      <c r="B82" s="57" t="s">
        <v>166</v>
      </c>
      <c r="C82" s="39"/>
      <c r="D82" s="40"/>
      <c r="E82" s="39"/>
      <c r="F82" s="40"/>
      <c r="G82" s="39"/>
      <c r="H82" s="40"/>
      <c r="I82" s="39"/>
      <c r="J82" s="40"/>
      <c r="K82" s="39"/>
      <c r="L82" s="40"/>
      <c r="M82" s="41"/>
      <c r="N82" s="42"/>
      <c r="O82" s="41"/>
      <c r="P82" s="42"/>
      <c r="Q82" s="41"/>
      <c r="R82" s="42"/>
      <c r="S82" s="41"/>
      <c r="T82" s="42"/>
      <c r="U82" s="41"/>
      <c r="V82" s="42"/>
      <c r="W82" s="43">
        <v>0</v>
      </c>
      <c r="X82" s="43"/>
      <c r="Y82" s="43">
        <v>100</v>
      </c>
      <c r="Z82" s="43">
        <v>1012</v>
      </c>
      <c r="AA82" s="24" t="s">
        <v>29</v>
      </c>
      <c r="AB82" s="16"/>
      <c r="AC82" s="16" t="s">
        <v>167</v>
      </c>
      <c r="AD82" s="16"/>
      <c r="AE82" s="16"/>
      <c r="AF82" s="16"/>
      <c r="AG82" s="16"/>
    </row>
    <row r="83" spans="1:37" ht="52.5" hidden="1" customHeight="1" x14ac:dyDescent="0.2">
      <c r="A83" s="187"/>
      <c r="B83" s="181"/>
      <c r="C83" s="39">
        <f>((C66+C69)/2)/100</f>
        <v>0</v>
      </c>
      <c r="D83" s="40">
        <f>D66+D69</f>
        <v>0</v>
      </c>
      <c r="E83" s="39">
        <f>((E66+E69)/2)/100</f>
        <v>0</v>
      </c>
      <c r="F83" s="40">
        <f>F66+F69</f>
        <v>0</v>
      </c>
      <c r="G83" s="39">
        <f>((G66+G69)/2)/100</f>
        <v>0</v>
      </c>
      <c r="H83" s="40">
        <f>H66+H69</f>
        <v>0</v>
      </c>
      <c r="I83" s="39">
        <f>((I66+I69)/2)/100</f>
        <v>0</v>
      </c>
      <c r="J83" s="40">
        <f>J66+J69</f>
        <v>0</v>
      </c>
      <c r="K83" s="39">
        <f>((K66+K69)/2)/100</f>
        <v>0</v>
      </c>
      <c r="L83" s="40">
        <f>L66+L69</f>
        <v>0</v>
      </c>
      <c r="M83" s="41">
        <f>((M66+M69)/2)/100</f>
        <v>0</v>
      </c>
      <c r="N83" s="42">
        <f>N66+N69</f>
        <v>0</v>
      </c>
      <c r="O83" s="41">
        <f>((O66+O69)/2)/100</f>
        <v>0</v>
      </c>
      <c r="P83" s="42">
        <f>P66+P69</f>
        <v>0</v>
      </c>
      <c r="Q83" s="41">
        <f>((Q66+Q69)/2)/100</f>
        <v>0</v>
      </c>
      <c r="R83" s="42">
        <f>R66+R69</f>
        <v>0</v>
      </c>
      <c r="S83" s="41">
        <f>((S66+S69+S79)/3)/100</f>
        <v>3.5000000000000003E-2</v>
      </c>
      <c r="T83" s="42">
        <f>T66+T69+T79</f>
        <v>0</v>
      </c>
      <c r="U83" s="41">
        <f>((U66+U69+U79)/3)/100</f>
        <v>0.51190000000000002</v>
      </c>
      <c r="V83" s="42">
        <f>V66+V69+V79</f>
        <v>0</v>
      </c>
      <c r="W83" s="41">
        <f>((W66+W69+W79)/3)/100</f>
        <v>0.66666666666666674</v>
      </c>
      <c r="X83" s="42">
        <f>X66+X69+X79</f>
        <v>4875</v>
      </c>
      <c r="Y83" s="41">
        <f>((Y66+Y69+Y79)/3)/100</f>
        <v>1</v>
      </c>
      <c r="Z83" s="42">
        <f>Z66+Z69+Z79</f>
        <v>6930</v>
      </c>
      <c r="AA83" s="10"/>
      <c r="AB83" s="16"/>
      <c r="AC83" s="16"/>
      <c r="AD83" s="16"/>
      <c r="AE83" s="16"/>
      <c r="AF83" s="16"/>
      <c r="AG83" s="16"/>
    </row>
    <row r="84" spans="1:37" ht="51" hidden="1" customHeight="1" x14ac:dyDescent="0.2">
      <c r="A84" s="58"/>
      <c r="B84" s="59" t="s">
        <v>168</v>
      </c>
      <c r="C84" s="39">
        <f>((C50+C51+C52+C53+C54+C55+C56+C57+C58+C59+C60+C61+C62+C63+C64+C65+C67+C68+C70+C71+C72)/21)/100</f>
        <v>0</v>
      </c>
      <c r="D84" s="60">
        <f>D50+D51+D52+D53+D54+D55+D56+D57+D58+D59+D60+D61+D62+D63+D64+D65+D67+D68+D70+D71+D72</f>
        <v>0</v>
      </c>
      <c r="E84" s="39">
        <f>((E50+E51+E52+E53+E54+E55+E56+E57+E58+E59+E60+E61+E62+E63+E64+E65+E67+E68+E70+E71+E72)/21)/100</f>
        <v>0</v>
      </c>
      <c r="F84" s="60">
        <f>F50+F51+F52+F53+F54+F55+F56+F57+F58+F59+F60+F61+F62+F63+F64+F65+F67+F68+F70+F71+F72</f>
        <v>0</v>
      </c>
      <c r="G84" s="39">
        <f>((G50+G51+G52+G53+G54+G55+G56+G57+G58+G59+G60+G61+G62+G63+G64+G65+G67+G68+G70+G71+G72)/21)/100</f>
        <v>0</v>
      </c>
      <c r="H84" s="60">
        <f>H50+H51+H52+H53+H54+H55+H56+H57+H58+H59+H60+H61+H62+H63+H64+H65+H67+H68+H70+H71+H72</f>
        <v>0</v>
      </c>
      <c r="I84" s="39">
        <f>((I50+I51+I52+I53+I54+I55+I56+I57+I58+I59+I60+I61+I62+I63+I64+I65+I67+I68+I70+I71+I72)/21)/100</f>
        <v>0</v>
      </c>
      <c r="J84" s="60">
        <f>J50+J51+J52+J53+J54+J55+J56+J57+J58+J59+J60+J61+J62+J63+J64+J65+J67+J68+J70+J71+J72</f>
        <v>0</v>
      </c>
      <c r="K84" s="39">
        <f>((K50+K51+K52+K53+K54+K55+K56+K57+K58+K59+K60+K61+K62+K63+K64+K65+K67+K68+K70+K71+K72)/21)/100</f>
        <v>0</v>
      </c>
      <c r="L84" s="60">
        <f>L50+L51+L52+L53+L54+L55+L56+L57+L58+L59+L60+L61+L62+L63+L64+L65+L67+L68+L70+L71+L72</f>
        <v>0</v>
      </c>
      <c r="M84" s="41">
        <f>((M50+M51+M52+M53+M54+M55+M56+M57+M58+M59+M60+M61+M62+M63+M64+M65+M67+M68+M70+M71+M72)/21)/100</f>
        <v>0</v>
      </c>
      <c r="N84" s="61">
        <f>N50+N51+N52+N53+N54+N55+N56+N57+N58+N59+N60+N61+N62+N63+N64+N65+N67+N68+N70+N71+N72</f>
        <v>0</v>
      </c>
      <c r="O84" s="41">
        <f>((O50+O51+O52+O53+O54+O55+O56+O57+O58+O59+O60+O61+O62+O63+O64+O65+O67+O68+O70+O71+O72)/21)/100</f>
        <v>7.2347619047619049E-2</v>
      </c>
      <c r="P84" s="61">
        <f>P50+P51+P52+P53+P54+P55+P56+P57+P58+P59+P60+P61+P62+P63+P64+P65+P67+P68+P70+P71+P72</f>
        <v>2000</v>
      </c>
      <c r="Q84" s="41">
        <f>((Q50+Q51+Q52+Q53+Q54+Q55+Q56+Q57+Q58+Q59+Q60+Q61+Q62+Q63+Q64+Q65+Q67+Q68+Q70+Q71+Q72)/21)/100</f>
        <v>0.40241904761904762</v>
      </c>
      <c r="R84" s="61">
        <f>R50+R51+R52+R53+R54+R55+R56+R57+R58+R59+R60+R61+R62+R63+R64+R65+R67+R68+R70+R71+R72</f>
        <v>16733.3</v>
      </c>
      <c r="S84" s="41">
        <f>((S50+S51+S52+S53+S54+S55+S56+S57+S58+S59+S60+S61+S62+S63+S64+S65+S67+S68+S70+S71+S72)/21)/100</f>
        <v>0.70424285714285706</v>
      </c>
      <c r="T84" s="61">
        <f>T50+T51+T52+T53+T54+T55+T56+T57+T58+T59+T60+T61+T62+T63+T64+T65+T67+T68+T70+T71+T72</f>
        <v>22441.3</v>
      </c>
      <c r="U84" s="41">
        <f>((U50+U51+U52+U53+U54+U55+U56+U57+U58+U59+U60+U61+U62+U63+U64+U65+U67+U68+U70+U71+U72+U73+U74+U75+U76+U77+U78+U80+U81+U82)/30)/100</f>
        <v>0.63551000000000002</v>
      </c>
      <c r="V84" s="61">
        <f>V50+V51+V52+V53+V54+V55+V56+V57+V58+V59+V60+V61+V62+V63+V64+V65+V67+V68+V70+V71+V72+V73+V74+V75+V76+V77+V78+V80+V81+V82</f>
        <v>35906.300000000003</v>
      </c>
      <c r="W84" s="41">
        <f>((W50+W51+W52+W53+W54+W55+W56+W57+W58+W59+W60+W61+W62+W63+W64+W65+W67+W68+W70+W71+W72+W73+W74+W75+W76+W77+W78+W80+W81+W82)/30)/100</f>
        <v>0.70166666666666666</v>
      </c>
      <c r="X84" s="61">
        <f>X50+X51+X52+X53+X54+X55+X56+X57+X58+X59+X60+X61+X62+X63+X64+X65+X67+X68+X70+X71+X72+X73+X74+X75+X76+X77+X78+X80+X81+X82</f>
        <v>58182.3</v>
      </c>
      <c r="Y84" s="41">
        <f>((Y50+Y51+Y52+Y53+Y54+Y55+Y56+Y57+Y58+Y59+Y60+Y61+Y62+Y63+Y64+Y65+Y67+Y68+Y70+Y71+Y72+Y73+Y74+Y75+Y76+Y77+Y78+Y80+Y81+Y82)/30)/100</f>
        <v>0.96666666666666667</v>
      </c>
      <c r="Z84" s="61">
        <f>Z50+Z51+Z52+Z53+Z54+Z55+Z56+Z57+Z58+Z59+Z60+Z61+Z62+Z63+Z64+Z65+Z67+Z68+Z70+Z71+Z72+Z73+Z74+Z75+Z76+Z77+Z78+Z80+Z81+Z82</f>
        <v>80196.3</v>
      </c>
      <c r="AA84" s="10"/>
      <c r="AB84" s="16"/>
      <c r="AC84" s="16"/>
      <c r="AD84" s="16"/>
      <c r="AE84" s="16"/>
      <c r="AF84" s="16"/>
      <c r="AG84" s="62">
        <v>20248.3</v>
      </c>
    </row>
    <row r="85" spans="1:37" ht="33" hidden="1" customHeight="1" x14ac:dyDescent="0.2">
      <c r="A85" s="58"/>
      <c r="B85" s="46"/>
      <c r="C85" s="41">
        <f>(SUM(C50:C82)/33)/100</f>
        <v>0</v>
      </c>
      <c r="D85" s="61">
        <f>D84+D83</f>
        <v>0</v>
      </c>
      <c r="E85" s="41">
        <f>(SUM(E50:E82)/33)/100</f>
        <v>0</v>
      </c>
      <c r="F85" s="61">
        <f>F84+F83</f>
        <v>0</v>
      </c>
      <c r="G85" s="41">
        <f>(SUM(G50:G82)/33)/100</f>
        <v>0</v>
      </c>
      <c r="H85" s="61">
        <f>H84+H83</f>
        <v>0</v>
      </c>
      <c r="I85" s="41">
        <f>(SUM(I50:I82)/33)/100</f>
        <v>0</v>
      </c>
      <c r="J85" s="61">
        <f>J84+J83</f>
        <v>0</v>
      </c>
      <c r="K85" s="41">
        <f>(SUM(K50:K82)/33)/100</f>
        <v>0</v>
      </c>
      <c r="L85" s="61">
        <f>L84+L83</f>
        <v>0</v>
      </c>
      <c r="M85" s="41">
        <f>(SUM(M50:M82)/33)/100</f>
        <v>0</v>
      </c>
      <c r="N85" s="61">
        <f>N84+N83</f>
        <v>0</v>
      </c>
      <c r="O85" s="41">
        <f>(SUM(O50:O82)/33)/100</f>
        <v>4.6039393939393942E-2</v>
      </c>
      <c r="P85" s="61">
        <f>P84+P83</f>
        <v>2000</v>
      </c>
      <c r="Q85" s="41">
        <f>(SUM(Q50:Q82)/33)/100</f>
        <v>0.25608484848484847</v>
      </c>
      <c r="R85" s="61">
        <f>R84+R83</f>
        <v>16733.3</v>
      </c>
      <c r="S85" s="41">
        <f>(SUM(S50:S82)/33)/100</f>
        <v>0.45133636363636354</v>
      </c>
      <c r="T85" s="61">
        <f>T84+T83</f>
        <v>22441.3</v>
      </c>
      <c r="U85" s="41">
        <f>(SUM(U50:U82)/33)/100</f>
        <v>0.6242727272727272</v>
      </c>
      <c r="V85" s="61">
        <f>V84+V83</f>
        <v>35906.300000000003</v>
      </c>
      <c r="W85" s="41">
        <f>(SUM(W50:W82)/33)/100</f>
        <v>0.69848484848484849</v>
      </c>
      <c r="X85" s="61">
        <f>X84+X83</f>
        <v>63057.3</v>
      </c>
      <c r="Y85" s="44">
        <f>(SUM(Y50:Y82)/33)/100</f>
        <v>0.96969696969696972</v>
      </c>
      <c r="Z85" s="63">
        <f>Z84+Z83</f>
        <v>87126.3</v>
      </c>
      <c r="AA85" s="10"/>
      <c r="AB85" s="16"/>
      <c r="AC85" s="16"/>
      <c r="AD85" s="16"/>
      <c r="AE85" s="16"/>
      <c r="AF85" s="16"/>
      <c r="AG85" s="64">
        <f>Z85-AG84</f>
        <v>66878</v>
      </c>
    </row>
    <row r="86" spans="1:37" ht="33" hidden="1" customHeight="1" x14ac:dyDescent="0.2">
      <c r="A86" s="21" t="s">
        <v>169</v>
      </c>
      <c r="B86" s="22" t="s">
        <v>170</v>
      </c>
      <c r="C86" s="186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6"/>
      <c r="AC86" s="16"/>
      <c r="AD86" s="16"/>
      <c r="AE86" s="16"/>
      <c r="AF86" s="16"/>
      <c r="AG86" s="16"/>
    </row>
    <row r="87" spans="1:37" ht="30" hidden="1" customHeight="1" x14ac:dyDescent="0.2">
      <c r="A87" s="24">
        <v>1</v>
      </c>
      <c r="B87" s="65" t="s">
        <v>171</v>
      </c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>
        <v>100</v>
      </c>
      <c r="V87" s="28">
        <v>3200</v>
      </c>
      <c r="W87" s="28">
        <v>100</v>
      </c>
      <c r="X87" s="28">
        <v>3200</v>
      </c>
      <c r="Y87" s="28">
        <v>100</v>
      </c>
      <c r="Z87" s="28">
        <v>3200</v>
      </c>
      <c r="AA87" s="24" t="s">
        <v>29</v>
      </c>
      <c r="AB87" s="66" t="s">
        <v>172</v>
      </c>
      <c r="AC87" s="16"/>
      <c r="AD87" s="16"/>
      <c r="AE87" s="16"/>
      <c r="AF87" s="16"/>
      <c r="AG87" s="16"/>
    </row>
    <row r="88" spans="1:37" ht="30" hidden="1" customHeight="1" x14ac:dyDescent="0.2">
      <c r="A88" s="24">
        <v>2</v>
      </c>
      <c r="B88" s="65" t="s">
        <v>173</v>
      </c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>
        <v>0</v>
      </c>
      <c r="R88" s="28"/>
      <c r="S88" s="28">
        <v>100</v>
      </c>
      <c r="T88" s="28">
        <v>3000</v>
      </c>
      <c r="U88" s="28">
        <v>100</v>
      </c>
      <c r="V88" s="28">
        <v>3000</v>
      </c>
      <c r="W88" s="28">
        <v>100</v>
      </c>
      <c r="X88" s="28">
        <v>3000</v>
      </c>
      <c r="Y88" s="28">
        <v>100</v>
      </c>
      <c r="Z88" s="28">
        <v>3000</v>
      </c>
      <c r="AA88" s="24" t="s">
        <v>29</v>
      </c>
      <c r="AB88" s="16" t="s">
        <v>174</v>
      </c>
      <c r="AC88" s="16"/>
      <c r="AD88" s="16"/>
      <c r="AE88" s="16"/>
      <c r="AF88" s="16"/>
      <c r="AG88" s="16"/>
    </row>
    <row r="89" spans="1:37" ht="30" hidden="1" customHeight="1" x14ac:dyDescent="0.2">
      <c r="A89" s="24">
        <v>3</v>
      </c>
      <c r="B89" s="25" t="s">
        <v>175</v>
      </c>
      <c r="C89" s="28"/>
      <c r="D89" s="28"/>
      <c r="E89" s="28"/>
      <c r="F89" s="28"/>
      <c r="G89" s="28"/>
      <c r="H89" s="28"/>
      <c r="I89" s="28">
        <v>0</v>
      </c>
      <c r="J89" s="28"/>
      <c r="K89" s="28">
        <v>0</v>
      </c>
      <c r="L89" s="28"/>
      <c r="M89" s="28">
        <v>0</v>
      </c>
      <c r="N89" s="28"/>
      <c r="O89" s="28">
        <v>100</v>
      </c>
      <c r="P89" s="28">
        <v>3265</v>
      </c>
      <c r="Q89" s="28">
        <v>100</v>
      </c>
      <c r="R89" s="28">
        <v>3265</v>
      </c>
      <c r="S89" s="28">
        <v>100</v>
      </c>
      <c r="T89" s="28">
        <v>3265</v>
      </c>
      <c r="U89" s="28">
        <v>100</v>
      </c>
      <c r="V89" s="28">
        <v>3265</v>
      </c>
      <c r="W89" s="28">
        <v>100</v>
      </c>
      <c r="X89" s="28">
        <v>3265</v>
      </c>
      <c r="Y89" s="28">
        <v>100</v>
      </c>
      <c r="Z89" s="28">
        <v>3265</v>
      </c>
      <c r="AA89" s="24" t="s">
        <v>29</v>
      </c>
      <c r="AB89" s="16" t="s">
        <v>176</v>
      </c>
      <c r="AC89" s="16"/>
      <c r="AD89" s="16"/>
      <c r="AE89" s="16"/>
      <c r="AF89" s="16"/>
      <c r="AG89" s="16"/>
    </row>
    <row r="90" spans="1:37" ht="33" hidden="1" customHeight="1" x14ac:dyDescent="0.2">
      <c r="A90" s="187"/>
      <c r="B90" s="181"/>
      <c r="C90" s="41">
        <f>(SUM(C87:C89)/3)/100</f>
        <v>0</v>
      </c>
      <c r="D90" s="42">
        <f>SUM(D87:D89)</f>
        <v>0</v>
      </c>
      <c r="E90" s="41">
        <f>(SUM(E87:E89)/3)/100</f>
        <v>0</v>
      </c>
      <c r="F90" s="42">
        <f>SUM(F87:F89)</f>
        <v>0</v>
      </c>
      <c r="G90" s="41">
        <f>(SUM(G87:G89)/3)/100</f>
        <v>0</v>
      </c>
      <c r="H90" s="42">
        <f>SUM(H87:H89)</f>
        <v>0</v>
      </c>
      <c r="I90" s="41">
        <f>(SUM(I87:I89)/3)/100</f>
        <v>0</v>
      </c>
      <c r="J90" s="42">
        <f>SUM(J87:J89)</f>
        <v>0</v>
      </c>
      <c r="K90" s="41">
        <f>(SUM(K87:K89)/3)/100</f>
        <v>0</v>
      </c>
      <c r="L90" s="42">
        <f>SUM(L87:L89)</f>
        <v>0</v>
      </c>
      <c r="M90" s="41">
        <f>(SUM(M87:M89)/3)/100</f>
        <v>0</v>
      </c>
      <c r="N90" s="42">
        <f>SUM(N87:N89)</f>
        <v>0</v>
      </c>
      <c r="O90" s="41">
        <f>(SUM(O87:O89)/3)/100</f>
        <v>0.33333333333333337</v>
      </c>
      <c r="P90" s="42">
        <f>SUM(P87:P89)</f>
        <v>3265</v>
      </c>
      <c r="Q90" s="41">
        <f>(SUM(Q87:Q89)/3)/100</f>
        <v>0.33333333333333337</v>
      </c>
      <c r="R90" s="42">
        <f>SUM(R87:R89)</f>
        <v>3265</v>
      </c>
      <c r="S90" s="41">
        <f>(SUM(S87:S89)/3)/100</f>
        <v>0.66666666666666674</v>
      </c>
      <c r="T90" s="42">
        <f>SUM(T87:T89)</f>
        <v>6265</v>
      </c>
      <c r="U90" s="41">
        <f>(SUM(U87:U89)/3)/100</f>
        <v>1</v>
      </c>
      <c r="V90" s="42">
        <f>SUM(V87:V89)</f>
        <v>9465</v>
      </c>
      <c r="W90" s="41">
        <f>(SUM(W87:W89)/3)/100</f>
        <v>1</v>
      </c>
      <c r="X90" s="42">
        <f>SUM(X87:X89)</f>
        <v>9465</v>
      </c>
      <c r="Y90" s="44">
        <f>(SUM(Y87:Y89)/3)/100</f>
        <v>1</v>
      </c>
      <c r="Z90" s="45">
        <f>SUM(Z87:Z89)</f>
        <v>9465</v>
      </c>
      <c r="AA90" s="10"/>
      <c r="AB90" s="16"/>
      <c r="AC90" s="16"/>
      <c r="AD90" s="16"/>
      <c r="AE90" s="16"/>
      <c r="AF90" s="16"/>
      <c r="AG90" s="16"/>
    </row>
    <row r="91" spans="1:37" ht="45.75" customHeight="1" x14ac:dyDescent="0.2">
      <c r="A91" s="17" t="s">
        <v>177</v>
      </c>
      <c r="B91" s="19" t="s">
        <v>178</v>
      </c>
      <c r="C91" s="185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6"/>
      <c r="AC91" s="16"/>
      <c r="AD91" s="16"/>
      <c r="AE91" s="16"/>
      <c r="AF91" s="16"/>
      <c r="AG91" s="16"/>
    </row>
    <row r="92" spans="1:37" ht="33.75" customHeight="1" x14ac:dyDescent="0.2">
      <c r="A92" s="21" t="s">
        <v>26</v>
      </c>
      <c r="B92" s="22" t="s">
        <v>179</v>
      </c>
      <c r="C92" s="186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6"/>
      <c r="AC92" s="16"/>
      <c r="AD92" s="16"/>
      <c r="AE92" s="16"/>
      <c r="AF92" s="16"/>
      <c r="AG92" s="16"/>
    </row>
    <row r="93" spans="1:37" ht="56.25" customHeight="1" x14ac:dyDescent="0.25">
      <c r="A93" s="24">
        <v>1</v>
      </c>
      <c r="B93" s="67" t="s">
        <v>180</v>
      </c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>
        <v>0</v>
      </c>
      <c r="T93" s="28"/>
      <c r="U93" s="28">
        <v>7</v>
      </c>
      <c r="V93" s="28"/>
      <c r="W93" s="28">
        <v>45.94</v>
      </c>
      <c r="X93" s="28"/>
      <c r="Y93" s="28">
        <v>100</v>
      </c>
      <c r="Z93" s="28">
        <v>32.9</v>
      </c>
      <c r="AA93" s="24" t="s">
        <v>29</v>
      </c>
      <c r="AB93" s="16"/>
      <c r="AC93" s="16" t="s">
        <v>181</v>
      </c>
      <c r="AD93" s="16"/>
      <c r="AE93" s="16"/>
      <c r="AF93" s="16"/>
      <c r="AG93" s="16"/>
    </row>
    <row r="94" spans="1:37" ht="46.5" customHeight="1" x14ac:dyDescent="0.25">
      <c r="A94" s="24">
        <v>2</v>
      </c>
      <c r="B94" s="67" t="s">
        <v>182</v>
      </c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>
        <v>0</v>
      </c>
      <c r="N94" s="28"/>
      <c r="O94" s="28">
        <v>71</v>
      </c>
      <c r="P94" s="28"/>
      <c r="Q94" s="28">
        <v>100</v>
      </c>
      <c r="R94" s="28">
        <v>165</v>
      </c>
      <c r="S94" s="28">
        <v>100</v>
      </c>
      <c r="T94" s="28">
        <v>165</v>
      </c>
      <c r="U94" s="28">
        <v>100</v>
      </c>
      <c r="V94" s="28">
        <v>165</v>
      </c>
      <c r="W94" s="28">
        <v>100</v>
      </c>
      <c r="X94" s="28">
        <v>165</v>
      </c>
      <c r="Y94" s="28">
        <v>100</v>
      </c>
      <c r="Z94" s="28">
        <v>165</v>
      </c>
      <c r="AA94" s="24" t="s">
        <v>29</v>
      </c>
      <c r="AB94" s="16" t="s">
        <v>183</v>
      </c>
      <c r="AC94" s="16" t="s">
        <v>184</v>
      </c>
      <c r="AD94" s="16"/>
      <c r="AE94" s="16"/>
      <c r="AF94" s="16"/>
      <c r="AG94" s="16"/>
    </row>
    <row r="95" spans="1:37" ht="30" customHeight="1" x14ac:dyDescent="0.25">
      <c r="A95" s="31">
        <v>3</v>
      </c>
      <c r="B95" s="68" t="s">
        <v>185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69">
        <v>0</v>
      </c>
      <c r="X95" s="34"/>
      <c r="Y95" s="34">
        <v>100</v>
      </c>
      <c r="Z95" s="34">
        <v>179.75</v>
      </c>
      <c r="AA95" s="24" t="s">
        <v>29</v>
      </c>
      <c r="AB95" s="16"/>
      <c r="AC95" s="16"/>
      <c r="AD95" s="16"/>
      <c r="AE95" s="16"/>
      <c r="AF95" s="16"/>
      <c r="AG95" s="16"/>
    </row>
    <row r="96" spans="1:37" ht="30" customHeight="1" x14ac:dyDescent="0.25">
      <c r="A96" s="31">
        <v>4</v>
      </c>
      <c r="B96" s="68" t="s">
        <v>186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69">
        <v>88.217114300000006</v>
      </c>
      <c r="X96" s="34"/>
      <c r="Y96" s="34">
        <v>100</v>
      </c>
      <c r="Z96" s="34">
        <v>251</v>
      </c>
      <c r="AA96" s="24" t="s">
        <v>29</v>
      </c>
      <c r="AB96" s="16"/>
      <c r="AC96" s="16" t="s">
        <v>187</v>
      </c>
      <c r="AD96" s="16"/>
      <c r="AE96" s="16"/>
      <c r="AF96" s="16"/>
      <c r="AG96" s="16"/>
    </row>
    <row r="97" spans="1:37" ht="30" customHeight="1" x14ac:dyDescent="0.25">
      <c r="A97" s="31">
        <v>5</v>
      </c>
      <c r="B97" s="70" t="s">
        <v>188</v>
      </c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>
        <v>3.26</v>
      </c>
      <c r="Z97" s="54">
        <v>0</v>
      </c>
      <c r="AA97" s="55" t="s">
        <v>152</v>
      </c>
      <c r="AB97" s="16"/>
      <c r="AC97" s="16" t="s">
        <v>189</v>
      </c>
      <c r="AD97" s="16"/>
      <c r="AE97" s="16"/>
      <c r="AF97" s="16"/>
      <c r="AG97" s="16"/>
    </row>
    <row r="98" spans="1:37" ht="33" customHeight="1" x14ac:dyDescent="0.2">
      <c r="A98" s="187"/>
      <c r="B98" s="181"/>
      <c r="C98" s="41">
        <f>(SUM(C93:C94)/2)/100</f>
        <v>0</v>
      </c>
      <c r="D98" s="42">
        <f>SUM(D93:D94)</f>
        <v>0</v>
      </c>
      <c r="E98" s="41">
        <f>(SUM(E93:E94)/2)/100</f>
        <v>0</v>
      </c>
      <c r="F98" s="42">
        <f>SUM(F93:F94)</f>
        <v>0</v>
      </c>
      <c r="G98" s="41">
        <f>(SUM(G93:G94)/2)/100</f>
        <v>0</v>
      </c>
      <c r="H98" s="42">
        <f>SUM(H93:H94)</f>
        <v>0</v>
      </c>
      <c r="I98" s="41">
        <f>(SUM(I93:I94)/2)/100</f>
        <v>0</v>
      </c>
      <c r="J98" s="42">
        <f>SUM(J93:J94)</f>
        <v>0</v>
      </c>
      <c r="K98" s="41">
        <f>(SUM(K93:K94)/2)/100</f>
        <v>0</v>
      </c>
      <c r="L98" s="42">
        <f>SUM(L93:L94)</f>
        <v>0</v>
      </c>
      <c r="M98" s="41">
        <f>(SUM(M93:M94)/2)/100</f>
        <v>0</v>
      </c>
      <c r="N98" s="42">
        <f>SUM(N93:N94)</f>
        <v>0</v>
      </c>
      <c r="O98" s="41">
        <f>(SUM(O93:O94)/2)/100</f>
        <v>0.35499999999999998</v>
      </c>
      <c r="P98" s="42">
        <f>SUM(P93:P94)</f>
        <v>0</v>
      </c>
      <c r="Q98" s="41">
        <f>(SUM(Q93:Q94)/2)/100</f>
        <v>0.5</v>
      </c>
      <c r="R98" s="42">
        <f>SUM(R93:R94)</f>
        <v>165</v>
      </c>
      <c r="S98" s="41">
        <f>(SUM(S93:S94)/2)/100</f>
        <v>0.5</v>
      </c>
      <c r="T98" s="42">
        <f>SUM(T93:T94)</f>
        <v>165</v>
      </c>
      <c r="U98" s="41">
        <f>(SUM(U93:U97)/5)/100</f>
        <v>0.214</v>
      </c>
      <c r="V98" s="42">
        <f>SUM(V93:V97)</f>
        <v>165</v>
      </c>
      <c r="W98" s="41">
        <f>(SUM(W93:W97)/5)/100</f>
        <v>0.46831422859999994</v>
      </c>
      <c r="X98" s="42">
        <f>SUM(X93:X97)</f>
        <v>165</v>
      </c>
      <c r="Y98" s="44">
        <f>(SUM(Y93:Y97)/5)/100</f>
        <v>0.80652000000000001</v>
      </c>
      <c r="Z98" s="45">
        <f>SUM(Z93:Z97)</f>
        <v>628.65</v>
      </c>
      <c r="AA98" s="10"/>
      <c r="AB98" s="16"/>
      <c r="AC98" s="16"/>
      <c r="AD98" s="16">
        <f>Z98-165</f>
        <v>463.65</v>
      </c>
      <c r="AE98" s="16"/>
      <c r="AF98" s="16"/>
      <c r="AG98" s="16"/>
    </row>
    <row r="99" spans="1:37" ht="33.75" customHeight="1" x14ac:dyDescent="0.2">
      <c r="A99" s="21" t="s">
        <v>95</v>
      </c>
      <c r="B99" s="22" t="s">
        <v>190</v>
      </c>
      <c r="C99" s="186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6"/>
      <c r="AC99" s="16"/>
      <c r="AD99" s="16"/>
      <c r="AE99" s="16"/>
      <c r="AF99" s="16"/>
      <c r="AG99" s="16"/>
    </row>
    <row r="100" spans="1:37" ht="30" customHeight="1" x14ac:dyDescent="0.25">
      <c r="A100" s="24">
        <v>1</v>
      </c>
      <c r="B100" s="67" t="s">
        <v>191</v>
      </c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>
        <v>0.75</v>
      </c>
      <c r="R100" s="28"/>
      <c r="S100" s="28">
        <v>13</v>
      </c>
      <c r="T100" s="28"/>
      <c r="U100" s="28">
        <v>42</v>
      </c>
      <c r="V100" s="28"/>
      <c r="W100" s="28">
        <v>93.2</v>
      </c>
      <c r="X100" s="28"/>
      <c r="Y100" s="28">
        <v>100</v>
      </c>
      <c r="Z100" s="28">
        <v>1</v>
      </c>
      <c r="AA100" s="24" t="s">
        <v>29</v>
      </c>
      <c r="AB100" s="16" t="s">
        <v>192</v>
      </c>
      <c r="AC100" s="16" t="s">
        <v>193</v>
      </c>
      <c r="AD100" s="16"/>
      <c r="AE100" s="16"/>
      <c r="AF100" s="16"/>
      <c r="AG100" s="16"/>
    </row>
    <row r="101" spans="1:37" ht="33" customHeight="1" x14ac:dyDescent="0.2">
      <c r="A101" s="187"/>
      <c r="B101" s="181"/>
      <c r="C101" s="41">
        <f>C100/100</f>
        <v>0</v>
      </c>
      <c r="D101" s="42">
        <f>D100</f>
        <v>0</v>
      </c>
      <c r="E101" s="41">
        <f>E100/100</f>
        <v>0</v>
      </c>
      <c r="F101" s="42">
        <f>F100</f>
        <v>0</v>
      </c>
      <c r="G101" s="41">
        <f>G100/100</f>
        <v>0</v>
      </c>
      <c r="H101" s="42">
        <f>H100</f>
        <v>0</v>
      </c>
      <c r="I101" s="41">
        <f>I100/100</f>
        <v>0</v>
      </c>
      <c r="J101" s="42">
        <f>J100</f>
        <v>0</v>
      </c>
      <c r="K101" s="41">
        <f>K100/100</f>
        <v>0</v>
      </c>
      <c r="L101" s="42">
        <f>L100</f>
        <v>0</v>
      </c>
      <c r="M101" s="41">
        <f>M100/100</f>
        <v>0</v>
      </c>
      <c r="N101" s="42">
        <f>N100</f>
        <v>0</v>
      </c>
      <c r="O101" s="41">
        <f>O100/100</f>
        <v>0</v>
      </c>
      <c r="P101" s="42">
        <f>P100</f>
        <v>0</v>
      </c>
      <c r="Q101" s="41">
        <f>Q100/100</f>
        <v>7.4999999999999997E-3</v>
      </c>
      <c r="R101" s="42">
        <f>R100</f>
        <v>0</v>
      </c>
      <c r="S101" s="41">
        <f>S100/100</f>
        <v>0.13</v>
      </c>
      <c r="T101" s="42">
        <f>T100</f>
        <v>0</v>
      </c>
      <c r="U101" s="41">
        <f>U100/100</f>
        <v>0.42</v>
      </c>
      <c r="V101" s="42">
        <f>V100</f>
        <v>0</v>
      </c>
      <c r="W101" s="41">
        <f>W100/100</f>
        <v>0.93200000000000005</v>
      </c>
      <c r="X101" s="42">
        <f>X100</f>
        <v>0</v>
      </c>
      <c r="Y101" s="44">
        <f>Y100/100</f>
        <v>1</v>
      </c>
      <c r="Z101" s="45">
        <f>Z100</f>
        <v>1</v>
      </c>
      <c r="AA101" s="10"/>
      <c r="AB101" s="16"/>
      <c r="AC101" s="16"/>
      <c r="AD101" s="16"/>
      <c r="AE101" s="16"/>
      <c r="AF101" s="16"/>
      <c r="AG101" s="16"/>
    </row>
    <row r="102" spans="1:37" ht="33.75" customHeight="1" x14ac:dyDescent="0.2">
      <c r="A102" s="21" t="s">
        <v>169</v>
      </c>
      <c r="B102" s="22" t="s">
        <v>194</v>
      </c>
      <c r="C102" s="186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6"/>
      <c r="AC102" s="16"/>
      <c r="AD102" s="16"/>
      <c r="AE102" s="16"/>
      <c r="AF102" s="16"/>
      <c r="AG102" s="16"/>
    </row>
    <row r="103" spans="1:37" ht="30" customHeight="1" x14ac:dyDescent="0.2">
      <c r="A103" s="24">
        <v>1</v>
      </c>
      <c r="B103" s="25" t="s">
        <v>195</v>
      </c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>
        <v>11.27</v>
      </c>
      <c r="P103" s="28"/>
      <c r="Q103" s="28">
        <v>30</v>
      </c>
      <c r="R103" s="28"/>
      <c r="S103" s="28">
        <v>63.08</v>
      </c>
      <c r="T103" s="28"/>
      <c r="U103" s="28">
        <v>100</v>
      </c>
      <c r="V103" s="28">
        <v>219</v>
      </c>
      <c r="W103" s="28">
        <v>100</v>
      </c>
      <c r="X103" s="28">
        <v>219</v>
      </c>
      <c r="Y103" s="28">
        <v>100</v>
      </c>
      <c r="Z103" s="28">
        <v>219</v>
      </c>
      <c r="AA103" s="24" t="s">
        <v>29</v>
      </c>
      <c r="AB103" s="16" t="s">
        <v>196</v>
      </c>
      <c r="AC103" s="16" t="s">
        <v>197</v>
      </c>
      <c r="AD103" s="16"/>
      <c r="AE103" s="16"/>
      <c r="AF103" s="16"/>
      <c r="AG103" s="16"/>
    </row>
    <row r="104" spans="1:37" ht="33" customHeight="1" x14ac:dyDescent="0.2">
      <c r="A104" s="187"/>
      <c r="B104" s="181"/>
      <c r="C104" s="41">
        <f>C103/100</f>
        <v>0</v>
      </c>
      <c r="D104" s="42">
        <f>D103</f>
        <v>0</v>
      </c>
      <c r="E104" s="41">
        <f>E103/100</f>
        <v>0</v>
      </c>
      <c r="F104" s="42">
        <f>F103</f>
        <v>0</v>
      </c>
      <c r="G104" s="41">
        <f>G103/100</f>
        <v>0</v>
      </c>
      <c r="H104" s="42">
        <f>H103</f>
        <v>0</v>
      </c>
      <c r="I104" s="41">
        <f>I103/100</f>
        <v>0</v>
      </c>
      <c r="J104" s="42">
        <f>J103</f>
        <v>0</v>
      </c>
      <c r="K104" s="41">
        <f>K103/100</f>
        <v>0</v>
      </c>
      <c r="L104" s="42">
        <f>L103</f>
        <v>0</v>
      </c>
      <c r="M104" s="41">
        <f>M103/100</f>
        <v>0</v>
      </c>
      <c r="N104" s="42">
        <f>N103</f>
        <v>0</v>
      </c>
      <c r="O104" s="41">
        <f>O103/100</f>
        <v>0.11269999999999999</v>
      </c>
      <c r="P104" s="42">
        <f>P103</f>
        <v>0</v>
      </c>
      <c r="Q104" s="41">
        <f>Q103/100</f>
        <v>0.3</v>
      </c>
      <c r="R104" s="42">
        <f>R103</f>
        <v>0</v>
      </c>
      <c r="S104" s="41">
        <f>S103/100</f>
        <v>0.63080000000000003</v>
      </c>
      <c r="T104" s="42">
        <f>T103</f>
        <v>0</v>
      </c>
      <c r="U104" s="41">
        <f>U103/100</f>
        <v>1</v>
      </c>
      <c r="V104" s="42">
        <f>V103</f>
        <v>219</v>
      </c>
      <c r="W104" s="41">
        <f>W103/100</f>
        <v>1</v>
      </c>
      <c r="X104" s="42">
        <f>X103</f>
        <v>219</v>
      </c>
      <c r="Y104" s="44">
        <f>Y103/100</f>
        <v>1</v>
      </c>
      <c r="Z104" s="45">
        <f>Z103</f>
        <v>219</v>
      </c>
      <c r="AA104" s="10"/>
      <c r="AB104" s="16"/>
      <c r="AC104" s="16"/>
      <c r="AD104" s="16"/>
      <c r="AE104" s="16"/>
      <c r="AF104" s="16"/>
      <c r="AG104" s="16"/>
    </row>
    <row r="105" spans="1:37" ht="33.75" customHeight="1" x14ac:dyDescent="0.2">
      <c r="A105" s="21" t="s">
        <v>198</v>
      </c>
      <c r="B105" s="22" t="s">
        <v>199</v>
      </c>
      <c r="C105" s="186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6"/>
      <c r="AC105" s="16"/>
      <c r="AD105" s="16"/>
      <c r="AE105" s="16"/>
      <c r="AF105" s="16"/>
      <c r="AG105" s="16"/>
    </row>
    <row r="106" spans="1:37" ht="30" customHeight="1" x14ac:dyDescent="0.2">
      <c r="A106" s="24">
        <v>1</v>
      </c>
      <c r="B106" s="25" t="s">
        <v>200</v>
      </c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>
        <v>63</v>
      </c>
      <c r="N106" s="28"/>
      <c r="O106" s="28">
        <v>100</v>
      </c>
      <c r="P106" s="28">
        <v>259</v>
      </c>
      <c r="Q106" s="28">
        <v>100</v>
      </c>
      <c r="R106" s="28">
        <v>259</v>
      </c>
      <c r="S106" s="28">
        <v>100</v>
      </c>
      <c r="T106" s="28">
        <v>259</v>
      </c>
      <c r="U106" s="28">
        <v>100</v>
      </c>
      <c r="V106" s="28">
        <v>259</v>
      </c>
      <c r="W106" s="28">
        <v>100</v>
      </c>
      <c r="X106" s="28">
        <v>259</v>
      </c>
      <c r="Y106" s="28">
        <v>100</v>
      </c>
      <c r="Z106" s="28">
        <v>259</v>
      </c>
      <c r="AA106" s="24" t="s">
        <v>29</v>
      </c>
      <c r="AB106" s="16" t="s">
        <v>201</v>
      </c>
      <c r="AC106" s="16"/>
      <c r="AD106" s="16"/>
      <c r="AE106" s="16"/>
      <c r="AF106" s="16"/>
      <c r="AG106" s="16"/>
    </row>
    <row r="107" spans="1:37" ht="30" customHeight="1" x14ac:dyDescent="0.2">
      <c r="A107" s="24">
        <v>2</v>
      </c>
      <c r="B107" s="25" t="s">
        <v>202</v>
      </c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>
        <v>0</v>
      </c>
      <c r="N107" s="28"/>
      <c r="O107" s="28">
        <v>80.28</v>
      </c>
      <c r="P107" s="28"/>
      <c r="Q107" s="28">
        <v>100</v>
      </c>
      <c r="R107" s="28">
        <v>402.5</v>
      </c>
      <c r="S107" s="28">
        <v>100</v>
      </c>
      <c r="T107" s="28">
        <v>402.5</v>
      </c>
      <c r="U107" s="28">
        <v>100</v>
      </c>
      <c r="V107" s="28">
        <v>402.5</v>
      </c>
      <c r="W107" s="28">
        <v>100</v>
      </c>
      <c r="X107" s="28">
        <v>402.5</v>
      </c>
      <c r="Y107" s="28">
        <v>100</v>
      </c>
      <c r="Z107" s="28">
        <v>402.5</v>
      </c>
      <c r="AA107" s="24" t="s">
        <v>29</v>
      </c>
      <c r="AB107" s="29" t="s">
        <v>203</v>
      </c>
      <c r="AC107" s="16" t="s">
        <v>47</v>
      </c>
      <c r="AD107" s="16"/>
      <c r="AE107" s="16"/>
      <c r="AF107" s="16"/>
      <c r="AG107" s="16"/>
    </row>
    <row r="108" spans="1:37" ht="30" customHeight="1" x14ac:dyDescent="0.2">
      <c r="A108" s="24">
        <v>3</v>
      </c>
      <c r="B108" s="25" t="s">
        <v>204</v>
      </c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>
        <v>0</v>
      </c>
      <c r="N108" s="28"/>
      <c r="O108" s="28">
        <v>15</v>
      </c>
      <c r="P108" s="28"/>
      <c r="Q108" s="28">
        <v>99</v>
      </c>
      <c r="R108" s="28"/>
      <c r="S108" s="28">
        <v>100</v>
      </c>
      <c r="T108" s="28">
        <v>105.8</v>
      </c>
      <c r="U108" s="28">
        <v>100</v>
      </c>
      <c r="V108" s="28">
        <v>105.8</v>
      </c>
      <c r="W108" s="28">
        <v>100</v>
      </c>
      <c r="X108" s="28">
        <v>105.8</v>
      </c>
      <c r="Y108" s="28">
        <v>100</v>
      </c>
      <c r="Z108" s="28">
        <v>105.8</v>
      </c>
      <c r="AA108" s="24" t="s">
        <v>29</v>
      </c>
      <c r="AB108" s="16" t="s">
        <v>205</v>
      </c>
      <c r="AC108" s="16"/>
      <c r="AD108" s="16"/>
      <c r="AE108" s="16"/>
      <c r="AF108" s="16"/>
      <c r="AG108" s="16"/>
    </row>
    <row r="109" spans="1:37" ht="30" customHeight="1" x14ac:dyDescent="0.2">
      <c r="A109" s="24">
        <v>4</v>
      </c>
      <c r="B109" s="25" t="s">
        <v>206</v>
      </c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>
        <v>30</v>
      </c>
      <c r="R109" s="28"/>
      <c r="S109" s="28">
        <v>100</v>
      </c>
      <c r="T109" s="28">
        <v>99.14</v>
      </c>
      <c r="U109" s="28">
        <v>100</v>
      </c>
      <c r="V109" s="28">
        <v>99.14</v>
      </c>
      <c r="W109" s="28">
        <v>100</v>
      </c>
      <c r="X109" s="28">
        <v>99.14</v>
      </c>
      <c r="Y109" s="28">
        <v>100</v>
      </c>
      <c r="Z109" s="28">
        <v>99.14</v>
      </c>
      <c r="AA109" s="24" t="s">
        <v>29</v>
      </c>
      <c r="AB109" s="16" t="s">
        <v>207</v>
      </c>
      <c r="AC109" s="16"/>
      <c r="AD109" s="16"/>
      <c r="AE109" s="16"/>
      <c r="AF109" s="16"/>
      <c r="AG109" s="16"/>
    </row>
    <row r="110" spans="1:37" ht="30" customHeight="1" x14ac:dyDescent="0.2">
      <c r="A110" s="24">
        <v>5</v>
      </c>
      <c r="B110" s="25" t="s">
        <v>208</v>
      </c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>
        <v>2.75</v>
      </c>
      <c r="P110" s="28"/>
      <c r="Q110" s="28">
        <v>50</v>
      </c>
      <c r="R110" s="28"/>
      <c r="S110" s="28">
        <v>100</v>
      </c>
      <c r="T110" s="28">
        <v>54.2</v>
      </c>
      <c r="U110" s="28">
        <v>100</v>
      </c>
      <c r="V110" s="28">
        <v>54.2</v>
      </c>
      <c r="W110" s="28">
        <v>100</v>
      </c>
      <c r="X110" s="28">
        <v>54.2</v>
      </c>
      <c r="Y110" s="28">
        <v>100</v>
      </c>
      <c r="Z110" s="28">
        <v>54.2</v>
      </c>
      <c r="AA110" s="24" t="s">
        <v>29</v>
      </c>
      <c r="AB110" s="16" t="s">
        <v>209</v>
      </c>
      <c r="AC110" s="16"/>
      <c r="AD110" s="16"/>
      <c r="AE110" s="16"/>
      <c r="AF110" s="16"/>
      <c r="AG110" s="16"/>
    </row>
    <row r="111" spans="1:37" ht="30" customHeight="1" x14ac:dyDescent="0.2">
      <c r="A111" s="24">
        <v>6</v>
      </c>
      <c r="B111" s="25" t="s">
        <v>210</v>
      </c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>
        <v>0</v>
      </c>
      <c r="N111" s="28"/>
      <c r="O111" s="28">
        <v>28.72</v>
      </c>
      <c r="P111" s="28"/>
      <c r="Q111" s="28">
        <v>100</v>
      </c>
      <c r="R111" s="28">
        <v>235.65</v>
      </c>
      <c r="S111" s="28">
        <v>100</v>
      </c>
      <c r="T111" s="28">
        <v>235.65</v>
      </c>
      <c r="U111" s="28">
        <v>100</v>
      </c>
      <c r="V111" s="28">
        <v>235.65</v>
      </c>
      <c r="W111" s="28">
        <v>100</v>
      </c>
      <c r="X111" s="28">
        <v>235.65</v>
      </c>
      <c r="Y111" s="28">
        <v>100</v>
      </c>
      <c r="Z111" s="28">
        <v>235.65</v>
      </c>
      <c r="AA111" s="24" t="s">
        <v>29</v>
      </c>
      <c r="AB111" s="29" t="s">
        <v>211</v>
      </c>
      <c r="AC111" s="16"/>
      <c r="AD111" s="16"/>
      <c r="AE111" s="16"/>
      <c r="AF111" s="16"/>
      <c r="AG111" s="16"/>
    </row>
    <row r="112" spans="1:37" ht="33" customHeight="1" x14ac:dyDescent="0.2">
      <c r="A112" s="187"/>
      <c r="B112" s="181"/>
      <c r="C112" s="41">
        <f>(SUM(C106:C111)/6)/100</f>
        <v>0</v>
      </c>
      <c r="D112" s="42">
        <f>SUM(D106:D111)</f>
        <v>0</v>
      </c>
      <c r="E112" s="41">
        <f>(SUM(E106:E111)/6)/100</f>
        <v>0</v>
      </c>
      <c r="F112" s="42">
        <f>SUM(F106:F111)</f>
        <v>0</v>
      </c>
      <c r="G112" s="41">
        <f>(SUM(G106:G111)/6)/100</f>
        <v>0</v>
      </c>
      <c r="H112" s="42">
        <f>SUM(H106:H111)</f>
        <v>0</v>
      </c>
      <c r="I112" s="41">
        <f>(SUM(I106:I111)/6)/100</f>
        <v>0</v>
      </c>
      <c r="J112" s="42">
        <f>SUM(J106:J111)</f>
        <v>0</v>
      </c>
      <c r="K112" s="41">
        <f>(SUM(K106:K111)/6)/100</f>
        <v>0</v>
      </c>
      <c r="L112" s="42">
        <f>SUM(L106:L111)</f>
        <v>0</v>
      </c>
      <c r="M112" s="41">
        <f>(SUM(M106:M111)/6)/100</f>
        <v>0.105</v>
      </c>
      <c r="N112" s="42">
        <f>SUM(N106:N111)</f>
        <v>0</v>
      </c>
      <c r="O112" s="41">
        <f>(SUM(O106:O111)/6)/100</f>
        <v>0.37791666666666662</v>
      </c>
      <c r="P112" s="42">
        <f>SUM(P106:P111)</f>
        <v>259</v>
      </c>
      <c r="Q112" s="41">
        <f>(SUM(Q106:Q111)/6)/100</f>
        <v>0.79833333333333334</v>
      </c>
      <c r="R112" s="42">
        <f>SUM(R106:R111)</f>
        <v>897.15</v>
      </c>
      <c r="S112" s="41">
        <f>(SUM(S106:S111)/6)/100</f>
        <v>1</v>
      </c>
      <c r="T112" s="42">
        <f>SUM(T106:T111)</f>
        <v>1156.29</v>
      </c>
      <c r="U112" s="41">
        <f>(SUM(U106:U111)/6)/100</f>
        <v>1</v>
      </c>
      <c r="V112" s="42">
        <f>SUM(V106:V111)</f>
        <v>1156.29</v>
      </c>
      <c r="W112" s="41">
        <f>(SUM(W106:W111)/6)/100</f>
        <v>1</v>
      </c>
      <c r="X112" s="42">
        <f>SUM(X106:X111)</f>
        <v>1156.29</v>
      </c>
      <c r="Y112" s="44">
        <f>(SUM(Y106:Y111)/6)/100</f>
        <v>1</v>
      </c>
      <c r="Z112" s="45">
        <f>SUM(Z106:Z111)</f>
        <v>1156.29</v>
      </c>
      <c r="AA112" s="10"/>
      <c r="AB112" s="16"/>
      <c r="AC112" s="16"/>
      <c r="AD112" s="16"/>
      <c r="AE112" s="16"/>
      <c r="AF112" s="16"/>
      <c r="AG112" s="16"/>
    </row>
    <row r="113" spans="1:37" ht="33.75" customHeight="1" x14ac:dyDescent="0.2">
      <c r="A113" s="21" t="s">
        <v>212</v>
      </c>
      <c r="B113" s="22" t="s">
        <v>213</v>
      </c>
      <c r="C113" s="186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6"/>
      <c r="AC113" s="16"/>
      <c r="AD113" s="16"/>
      <c r="AE113" s="16"/>
      <c r="AF113" s="16"/>
      <c r="AG113" s="16"/>
    </row>
    <row r="114" spans="1:37" ht="30" customHeight="1" x14ac:dyDescent="0.2">
      <c r="A114" s="24">
        <v>1</v>
      </c>
      <c r="B114" s="25" t="s">
        <v>214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>
        <v>20</v>
      </c>
      <c r="R114" s="28"/>
      <c r="S114" s="28">
        <v>100</v>
      </c>
      <c r="T114" s="28">
        <v>1</v>
      </c>
      <c r="U114" s="28">
        <v>100</v>
      </c>
      <c r="V114" s="28">
        <v>1</v>
      </c>
      <c r="W114" s="28">
        <v>100</v>
      </c>
      <c r="X114" s="28">
        <v>1</v>
      </c>
      <c r="Y114" s="28">
        <v>100</v>
      </c>
      <c r="Z114" s="28">
        <v>1</v>
      </c>
      <c r="AA114" s="24" t="s">
        <v>29</v>
      </c>
      <c r="AB114" s="16" t="s">
        <v>215</v>
      </c>
      <c r="AC114" s="16"/>
      <c r="AD114" s="16" t="s">
        <v>216</v>
      </c>
      <c r="AE114" s="16"/>
      <c r="AF114" s="16"/>
      <c r="AG114" s="16"/>
    </row>
    <row r="115" spans="1:37" ht="30" customHeight="1" x14ac:dyDescent="0.2">
      <c r="A115" s="24">
        <v>2</v>
      </c>
      <c r="B115" s="25" t="s">
        <v>217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>
        <v>100</v>
      </c>
      <c r="R115" s="28">
        <v>1</v>
      </c>
      <c r="S115" s="28">
        <v>100</v>
      </c>
      <c r="T115" s="28">
        <v>1</v>
      </c>
      <c r="U115" s="28">
        <v>100</v>
      </c>
      <c r="V115" s="28">
        <v>1</v>
      </c>
      <c r="W115" s="28">
        <v>100</v>
      </c>
      <c r="X115" s="28">
        <v>1</v>
      </c>
      <c r="Y115" s="28">
        <v>100</v>
      </c>
      <c r="Z115" s="28">
        <v>1</v>
      </c>
      <c r="AA115" s="24" t="s">
        <v>29</v>
      </c>
      <c r="AB115" s="16" t="s">
        <v>218</v>
      </c>
      <c r="AC115" s="16"/>
      <c r="AD115" s="16" t="s">
        <v>219</v>
      </c>
      <c r="AE115" s="16"/>
      <c r="AF115" s="16"/>
      <c r="AG115" s="16"/>
    </row>
    <row r="116" spans="1:37" ht="33" customHeight="1" x14ac:dyDescent="0.2">
      <c r="A116" s="187"/>
      <c r="B116" s="181"/>
      <c r="C116" s="41">
        <f>(SUM(C114:C115)/2)/100</f>
        <v>0</v>
      </c>
      <c r="D116" s="42">
        <f>SUM(D114:D115)</f>
        <v>0</v>
      </c>
      <c r="E116" s="41">
        <f>(SUM(E114:E115)/2)/100</f>
        <v>0</v>
      </c>
      <c r="F116" s="42">
        <f>SUM(F114:F115)</f>
        <v>0</v>
      </c>
      <c r="G116" s="41">
        <f>(SUM(G114:G115)/2)/100</f>
        <v>0</v>
      </c>
      <c r="H116" s="42">
        <f>SUM(H114:H115)</f>
        <v>0</v>
      </c>
      <c r="I116" s="41">
        <f>(SUM(I114:I115)/2)/100</f>
        <v>0</v>
      </c>
      <c r="J116" s="42">
        <f>SUM(J114:J115)</f>
        <v>0</v>
      </c>
      <c r="K116" s="41">
        <f>(SUM(K114:K115)/2)/100</f>
        <v>0</v>
      </c>
      <c r="L116" s="42">
        <f>SUM(L114:L115)</f>
        <v>0</v>
      </c>
      <c r="M116" s="41">
        <f>(SUM(M114:M115)/2)/100</f>
        <v>0</v>
      </c>
      <c r="N116" s="42">
        <f>SUM(N114:N115)</f>
        <v>0</v>
      </c>
      <c r="O116" s="41">
        <f>(SUM(O114:O115)/2)/100</f>
        <v>0</v>
      </c>
      <c r="P116" s="42">
        <f>SUM(P114:P115)</f>
        <v>0</v>
      </c>
      <c r="Q116" s="41">
        <f>(SUM(Q114:Q115)/2)/100</f>
        <v>0.6</v>
      </c>
      <c r="R116" s="42">
        <f>SUM(R114:R115)</f>
        <v>1</v>
      </c>
      <c r="S116" s="41">
        <f>(SUM(S114:S115)/2)/100</f>
        <v>1</v>
      </c>
      <c r="T116" s="42">
        <f>SUM(T114:T115)</f>
        <v>2</v>
      </c>
      <c r="U116" s="41">
        <f>(SUM(U114:U115)/2)/100</f>
        <v>1</v>
      </c>
      <c r="V116" s="42">
        <f>SUM(V114:V115)</f>
        <v>2</v>
      </c>
      <c r="W116" s="41">
        <f>(SUM(W114:W115)/2)/100</f>
        <v>1</v>
      </c>
      <c r="X116" s="42">
        <f>SUM(X114:X115)</f>
        <v>2</v>
      </c>
      <c r="Y116" s="44">
        <f>(SUM(Y114:Y115)/2)/100</f>
        <v>1</v>
      </c>
      <c r="Z116" s="45">
        <f>SUM(Z114:Z115)</f>
        <v>2</v>
      </c>
      <c r="AA116" s="10"/>
      <c r="AB116" s="16" t="s">
        <v>220</v>
      </c>
      <c r="AC116" s="16"/>
      <c r="AD116" s="16"/>
      <c r="AE116" s="16"/>
      <c r="AF116" s="16"/>
      <c r="AG116" s="16"/>
    </row>
  </sheetData>
  <mergeCells count="37">
    <mergeCell ref="AE6:AE9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Y8:Z8"/>
    <mergeCell ref="A116:B116"/>
    <mergeCell ref="C113:AA113"/>
    <mergeCell ref="C91:AA91"/>
    <mergeCell ref="C92:AA92"/>
    <mergeCell ref="A98:B98"/>
    <mergeCell ref="A104:B104"/>
    <mergeCell ref="A112:B112"/>
    <mergeCell ref="C99:AA99"/>
    <mergeCell ref="A101:B101"/>
    <mergeCell ref="C102:AA102"/>
    <mergeCell ref="C105:AA105"/>
    <mergeCell ref="C86:AA86"/>
    <mergeCell ref="A90:B90"/>
    <mergeCell ref="A48:B48"/>
    <mergeCell ref="C49:X49"/>
    <mergeCell ref="A83:B83"/>
    <mergeCell ref="C10:X10"/>
    <mergeCell ref="E11:X11"/>
    <mergeCell ref="C12:X12"/>
    <mergeCell ref="C4:AA4"/>
    <mergeCell ref="A6:A9"/>
    <mergeCell ref="B6:B9"/>
    <mergeCell ref="C6:Z7"/>
    <mergeCell ref="AA6:AA9"/>
  </mergeCells>
  <hyperlinks>
    <hyperlink ref="B2" r:id="rId1" xr:uid="{00000000-0004-0000-0000-000000000000}"/>
  </hyperlinks>
  <pageMargins left="0.7" right="0.7" top="0.75" bottom="0.75" header="0.3" footer="0.3"/>
  <pageSetup orientation="portrait" horizontalDpi="0" verticalDpi="0" r:id="rId2"/>
  <colBreaks count="2" manualBreakCount="2">
    <brk id="3" max="115" man="1"/>
    <brk id="12" max="11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U999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ColWidth="12.5703125" defaultRowHeight="15.75" customHeight="1" x14ac:dyDescent="0.2"/>
  <cols>
    <col min="1" max="1" width="6" customWidth="1"/>
    <col min="2" max="2" width="23.85546875" customWidth="1"/>
    <col min="3" max="3" width="15.140625" customWidth="1"/>
    <col min="5" max="5" width="14.7109375" customWidth="1"/>
    <col min="10" max="10" width="16.5703125" customWidth="1"/>
    <col min="15" max="15" width="17.7109375" customWidth="1"/>
    <col min="20" max="20" width="15.42578125" customWidth="1"/>
    <col min="25" max="25" width="14.85546875" customWidth="1"/>
    <col min="50" max="50" width="14.85546875" customWidth="1"/>
    <col min="55" max="55" width="16" customWidth="1"/>
    <col min="60" max="60" width="16.42578125" customWidth="1"/>
    <col min="62" max="62" width="14.42578125" customWidth="1"/>
    <col min="65" max="66" width="19.5703125" customWidth="1"/>
    <col min="67" max="67" width="11.85546875" customWidth="1"/>
    <col min="68" max="68" width="18" customWidth="1"/>
    <col min="69" max="69" width="11.42578125" customWidth="1"/>
    <col min="70" max="70" width="19.5703125" customWidth="1"/>
    <col min="71" max="72" width="16.42578125" customWidth="1"/>
    <col min="73" max="73" width="16.85546875" customWidth="1"/>
  </cols>
  <sheetData>
    <row r="1" spans="1:73" ht="12.75" x14ac:dyDescent="0.2">
      <c r="A1" s="16"/>
      <c r="B1" s="73"/>
      <c r="C1" s="16"/>
      <c r="D1" s="16"/>
      <c r="J1" s="16"/>
      <c r="L1" s="3"/>
      <c r="M1" s="3"/>
      <c r="O1" s="74"/>
      <c r="T1" s="3"/>
      <c r="AN1" s="75">
        <f>AI12+AN12+AS12</f>
        <v>368410750</v>
      </c>
      <c r="AX1" s="76">
        <f>AX17+BC17+BH17</f>
        <v>1017906898</v>
      </c>
      <c r="BC1" s="76"/>
      <c r="BH1" s="74"/>
      <c r="BM1" s="77">
        <f>BM11-BM8</f>
        <v>9665795305</v>
      </c>
      <c r="BN1" s="3"/>
      <c r="BO1" s="3"/>
      <c r="BP1" s="3"/>
      <c r="BQ1" s="3"/>
      <c r="BR1" s="78">
        <f>BR8-BR2</f>
        <v>377649362</v>
      </c>
      <c r="BS1" s="79"/>
      <c r="BT1" s="3"/>
    </row>
    <row r="2" spans="1:73" ht="12.75" x14ac:dyDescent="0.2">
      <c r="A2" s="16"/>
      <c r="B2" s="73"/>
      <c r="C2" s="16"/>
      <c r="D2" s="16"/>
      <c r="J2" s="16"/>
      <c r="L2" s="3"/>
      <c r="M2" s="3"/>
      <c r="O2" s="74"/>
      <c r="T2" s="3"/>
      <c r="AX2" s="16"/>
      <c r="BC2" s="76"/>
      <c r="BH2" s="74"/>
      <c r="BM2" s="80">
        <f>BM1+BM10+BM12+BM13</f>
        <v>20588617578</v>
      </c>
      <c r="BN2" s="3"/>
      <c r="BO2" s="3"/>
      <c r="BP2" s="3"/>
      <c r="BQ2" s="3"/>
      <c r="BR2" s="81">
        <v>21628207666</v>
      </c>
      <c r="BS2" s="79"/>
      <c r="BT2" s="3"/>
    </row>
    <row r="3" spans="1:73" ht="12.75" x14ac:dyDescent="0.2">
      <c r="A3" s="207" t="s">
        <v>3</v>
      </c>
      <c r="B3" s="208" t="s">
        <v>226</v>
      </c>
      <c r="C3" s="191" t="s">
        <v>227</v>
      </c>
      <c r="D3" s="179"/>
      <c r="E3" s="210" t="s">
        <v>228</v>
      </c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211" t="s">
        <v>229</v>
      </c>
      <c r="BN3" s="178"/>
      <c r="BO3" s="178"/>
      <c r="BP3" s="178"/>
      <c r="BQ3" s="179"/>
      <c r="BR3" s="213" t="s">
        <v>230</v>
      </c>
      <c r="BS3" s="213" t="s">
        <v>231</v>
      </c>
      <c r="BT3" s="214" t="s">
        <v>232</v>
      </c>
      <c r="BU3" s="82">
        <f>BU4+BU10+BU12+BU13</f>
        <v>13899865104</v>
      </c>
    </row>
    <row r="4" spans="1:73" ht="12.75" x14ac:dyDescent="0.2">
      <c r="A4" s="175"/>
      <c r="B4" s="209"/>
      <c r="C4" s="181"/>
      <c r="D4" s="182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212"/>
      <c r="BN4" s="173"/>
      <c r="BO4" s="173"/>
      <c r="BP4" s="173"/>
      <c r="BQ4" s="209"/>
      <c r="BR4" s="175"/>
      <c r="BS4" s="175"/>
      <c r="BT4" s="209"/>
      <c r="BU4" s="82">
        <f>BU11-BU7</f>
        <v>5454923907</v>
      </c>
    </row>
    <row r="5" spans="1:73" ht="15" x14ac:dyDescent="0.25">
      <c r="A5" s="175"/>
      <c r="B5" s="209"/>
      <c r="C5" s="192" t="s">
        <v>233</v>
      </c>
      <c r="D5" s="193" t="s">
        <v>234</v>
      </c>
      <c r="E5" s="197" t="s">
        <v>235</v>
      </c>
      <c r="F5" s="181"/>
      <c r="G5" s="181"/>
      <c r="H5" s="181"/>
      <c r="I5" s="194"/>
      <c r="J5" s="198" t="s">
        <v>236</v>
      </c>
      <c r="K5" s="181"/>
      <c r="L5" s="181"/>
      <c r="M5" s="181"/>
      <c r="N5" s="194"/>
      <c r="O5" s="199" t="s">
        <v>237</v>
      </c>
      <c r="P5" s="181"/>
      <c r="Q5" s="181"/>
      <c r="R5" s="181"/>
      <c r="S5" s="194"/>
      <c r="T5" s="198" t="s">
        <v>238</v>
      </c>
      <c r="U5" s="181"/>
      <c r="V5" s="181"/>
      <c r="W5" s="181"/>
      <c r="X5" s="194"/>
      <c r="Y5" s="197" t="s">
        <v>239</v>
      </c>
      <c r="Z5" s="181"/>
      <c r="AA5" s="181"/>
      <c r="AB5" s="181"/>
      <c r="AC5" s="194"/>
      <c r="AD5" s="197" t="s">
        <v>240</v>
      </c>
      <c r="AE5" s="181"/>
      <c r="AF5" s="181"/>
      <c r="AG5" s="181"/>
      <c r="AH5" s="194"/>
      <c r="AI5" s="197" t="s">
        <v>241</v>
      </c>
      <c r="AJ5" s="181"/>
      <c r="AK5" s="181"/>
      <c r="AL5" s="181"/>
      <c r="AM5" s="194"/>
      <c r="AN5" s="197" t="s">
        <v>242</v>
      </c>
      <c r="AO5" s="181"/>
      <c r="AP5" s="181"/>
      <c r="AQ5" s="181"/>
      <c r="AR5" s="194"/>
      <c r="AS5" s="200" t="s">
        <v>243</v>
      </c>
      <c r="AT5" s="181"/>
      <c r="AU5" s="181"/>
      <c r="AV5" s="181"/>
      <c r="AW5" s="194"/>
      <c r="AX5" s="198" t="s">
        <v>244</v>
      </c>
      <c r="AY5" s="181"/>
      <c r="AZ5" s="181"/>
      <c r="BA5" s="181"/>
      <c r="BB5" s="194"/>
      <c r="BC5" s="201" t="s">
        <v>245</v>
      </c>
      <c r="BD5" s="181"/>
      <c r="BE5" s="181"/>
      <c r="BF5" s="181"/>
      <c r="BG5" s="194"/>
      <c r="BH5" s="199" t="s">
        <v>246</v>
      </c>
      <c r="BI5" s="181"/>
      <c r="BJ5" s="181"/>
      <c r="BK5" s="181"/>
      <c r="BL5" s="194"/>
      <c r="BM5" s="180"/>
      <c r="BN5" s="181"/>
      <c r="BO5" s="181"/>
      <c r="BP5" s="181"/>
      <c r="BQ5" s="182"/>
      <c r="BR5" s="175"/>
      <c r="BS5" s="175"/>
      <c r="BT5" s="209"/>
      <c r="BU5" s="83"/>
    </row>
    <row r="6" spans="1:73" ht="36.75" customHeight="1" x14ac:dyDescent="0.25">
      <c r="A6" s="176"/>
      <c r="B6" s="182"/>
      <c r="C6" s="182"/>
      <c r="D6" s="194"/>
      <c r="E6" s="84" t="s">
        <v>233</v>
      </c>
      <c r="F6" s="84" t="s">
        <v>247</v>
      </c>
      <c r="G6" s="84" t="s">
        <v>248</v>
      </c>
      <c r="H6" s="84" t="s">
        <v>249</v>
      </c>
      <c r="I6" s="85" t="s">
        <v>247</v>
      </c>
      <c r="J6" s="86" t="s">
        <v>233</v>
      </c>
      <c r="K6" s="84" t="s">
        <v>247</v>
      </c>
      <c r="L6" s="86" t="s">
        <v>248</v>
      </c>
      <c r="M6" s="86" t="s">
        <v>249</v>
      </c>
      <c r="N6" s="85" t="s">
        <v>247</v>
      </c>
      <c r="O6" s="87" t="s">
        <v>233</v>
      </c>
      <c r="P6" s="84" t="s">
        <v>247</v>
      </c>
      <c r="Q6" s="84" t="s">
        <v>248</v>
      </c>
      <c r="R6" s="84" t="s">
        <v>249</v>
      </c>
      <c r="S6" s="85" t="s">
        <v>247</v>
      </c>
      <c r="T6" s="86" t="s">
        <v>233</v>
      </c>
      <c r="U6" s="84" t="s">
        <v>247</v>
      </c>
      <c r="V6" s="84" t="s">
        <v>248</v>
      </c>
      <c r="W6" s="84" t="s">
        <v>249</v>
      </c>
      <c r="X6" s="85" t="s">
        <v>247</v>
      </c>
      <c r="Y6" s="84" t="s">
        <v>233</v>
      </c>
      <c r="Z6" s="84" t="s">
        <v>247</v>
      </c>
      <c r="AA6" s="84" t="s">
        <v>248</v>
      </c>
      <c r="AB6" s="84" t="s">
        <v>249</v>
      </c>
      <c r="AC6" s="85" t="s">
        <v>247</v>
      </c>
      <c r="AD6" s="84" t="s">
        <v>233</v>
      </c>
      <c r="AE6" s="84" t="s">
        <v>247</v>
      </c>
      <c r="AF6" s="84" t="s">
        <v>248</v>
      </c>
      <c r="AG6" s="84" t="s">
        <v>249</v>
      </c>
      <c r="AH6" s="85" t="s">
        <v>247</v>
      </c>
      <c r="AI6" s="84" t="s">
        <v>233</v>
      </c>
      <c r="AJ6" s="84" t="s">
        <v>247</v>
      </c>
      <c r="AK6" s="84" t="s">
        <v>248</v>
      </c>
      <c r="AL6" s="84" t="s">
        <v>249</v>
      </c>
      <c r="AM6" s="85" t="s">
        <v>247</v>
      </c>
      <c r="AN6" s="84" t="s">
        <v>233</v>
      </c>
      <c r="AO6" s="84" t="s">
        <v>247</v>
      </c>
      <c r="AP6" s="84" t="s">
        <v>248</v>
      </c>
      <c r="AQ6" s="84" t="s">
        <v>249</v>
      </c>
      <c r="AR6" s="85" t="s">
        <v>247</v>
      </c>
      <c r="AS6" s="88" t="s">
        <v>233</v>
      </c>
      <c r="AT6" s="84" t="s">
        <v>247</v>
      </c>
      <c r="AU6" s="84" t="s">
        <v>248</v>
      </c>
      <c r="AV6" s="84" t="s">
        <v>249</v>
      </c>
      <c r="AW6" s="85" t="s">
        <v>247</v>
      </c>
      <c r="AX6" s="86" t="s">
        <v>233</v>
      </c>
      <c r="AY6" s="84" t="s">
        <v>247</v>
      </c>
      <c r="AZ6" s="84" t="s">
        <v>248</v>
      </c>
      <c r="BA6" s="84" t="s">
        <v>249</v>
      </c>
      <c r="BB6" s="85" t="s">
        <v>247</v>
      </c>
      <c r="BC6" s="89" t="s">
        <v>233</v>
      </c>
      <c r="BD6" s="84" t="s">
        <v>247</v>
      </c>
      <c r="BE6" s="84" t="s">
        <v>248</v>
      </c>
      <c r="BF6" s="84" t="s">
        <v>249</v>
      </c>
      <c r="BG6" s="85" t="s">
        <v>247</v>
      </c>
      <c r="BH6" s="87" t="s">
        <v>233</v>
      </c>
      <c r="BI6" s="84" t="s">
        <v>247</v>
      </c>
      <c r="BJ6" s="84" t="s">
        <v>248</v>
      </c>
      <c r="BK6" s="84" t="s">
        <v>249</v>
      </c>
      <c r="BL6" s="85" t="s">
        <v>247</v>
      </c>
      <c r="BM6" s="86" t="s">
        <v>233</v>
      </c>
      <c r="BN6" s="84" t="s">
        <v>247</v>
      </c>
      <c r="BO6" s="86" t="s">
        <v>248</v>
      </c>
      <c r="BP6" s="86" t="s">
        <v>249</v>
      </c>
      <c r="BQ6" s="85" t="s">
        <v>247</v>
      </c>
      <c r="BR6" s="176"/>
      <c r="BS6" s="176"/>
      <c r="BT6" s="182"/>
      <c r="BU6" s="83"/>
    </row>
    <row r="7" spans="1:73" ht="30" x14ac:dyDescent="0.25">
      <c r="A7" s="90" t="s">
        <v>22</v>
      </c>
      <c r="B7" s="91" t="s">
        <v>250</v>
      </c>
      <c r="C7" s="92">
        <f>C8+C9+C14+C15</f>
        <v>30086793380</v>
      </c>
      <c r="D7" s="93">
        <v>70.739999999999995</v>
      </c>
      <c r="E7" s="94">
        <f>E8+E9+E14+E15</f>
        <v>0</v>
      </c>
      <c r="F7" s="95">
        <f t="shared" ref="F7:F23" si="0">E7/C7*100%</f>
        <v>0</v>
      </c>
      <c r="G7" s="95" t="e">
        <f>(G8+G9+G14+G15)/4</f>
        <v>#REF!</v>
      </c>
      <c r="H7" s="96"/>
      <c r="I7" s="97"/>
      <c r="J7" s="98">
        <f>J8+J9+J14+J15</f>
        <v>620486463</v>
      </c>
      <c r="K7" s="95">
        <f>(K8+K9+K14+K15)/4</f>
        <v>3.6237699733567177E-2</v>
      </c>
      <c r="L7" s="99" t="e">
        <f>L8+L9+L14+L15</f>
        <v>#REF!</v>
      </c>
      <c r="M7" s="100"/>
      <c r="N7" s="97"/>
      <c r="O7" s="101">
        <f>O8+O9+O14+O15</f>
        <v>1243924361</v>
      </c>
      <c r="P7" s="95">
        <f t="shared" ref="P7:P23" si="1">O7/C7*100%</f>
        <v>4.1344530980389906E-2</v>
      </c>
      <c r="Q7" s="95" t="e">
        <f>(Q8+Q9+Q14+Q15)/4</f>
        <v>#REF!</v>
      </c>
      <c r="R7" s="96"/>
      <c r="S7" s="97"/>
      <c r="T7" s="101">
        <f>T8+T9+T14+T15</f>
        <v>958900710</v>
      </c>
      <c r="U7" s="95">
        <f t="shared" ref="U7:U23" si="2">T7/C7*100%</f>
        <v>3.187115017173691E-2</v>
      </c>
      <c r="V7" s="95" t="e">
        <f>(V8+V9+V14+V15)/4</f>
        <v>#REF!</v>
      </c>
      <c r="W7" s="96"/>
      <c r="X7" s="97"/>
      <c r="Y7" s="101">
        <f>Y8+Y9+Y14+Y15</f>
        <v>305158049</v>
      </c>
      <c r="Z7" s="95">
        <f t="shared" ref="Z7:Z23" si="3">Y7/C7*100%</f>
        <v>1.0142591307282744E-2</v>
      </c>
      <c r="AA7" s="95" t="e">
        <f>(AA8+AA9+AA14+AA15)/4</f>
        <v>#REF!</v>
      </c>
      <c r="AB7" s="96"/>
      <c r="AC7" s="97"/>
      <c r="AD7" s="101">
        <f>AD8+AD9+AD14+AD15</f>
        <v>1171742322</v>
      </c>
      <c r="AE7" s="95">
        <f t="shared" ref="AE7:AE23" si="4">AD7/C7*100%</f>
        <v>3.8945403958499214E-2</v>
      </c>
      <c r="AF7" s="95" t="e">
        <f>(AF8+AF9+AF14+AF15)/4</f>
        <v>#REF!</v>
      </c>
      <c r="AG7" s="96"/>
      <c r="AH7" s="97"/>
      <c r="AI7" s="101">
        <f>AI8+AI9+AI14+AI15</f>
        <v>2332581528</v>
      </c>
      <c r="AJ7" s="95">
        <f t="shared" ref="AJ7:AJ23" si="5">AI7/C7*100%</f>
        <v>7.7528419148534727E-2</v>
      </c>
      <c r="AK7" s="95" t="e">
        <f>(AK8+AK9+AK14+AK15)/4</f>
        <v>#REF!</v>
      </c>
      <c r="AL7" s="96"/>
      <c r="AM7" s="97"/>
      <c r="AN7" s="101">
        <f>AN8+AN9+AN14+AN15</f>
        <v>1636233854</v>
      </c>
      <c r="AO7" s="95">
        <f t="shared" ref="AO7:AO23" si="6">AN7/C7*100%</f>
        <v>5.4383790034855488E-2</v>
      </c>
      <c r="AP7" s="95" t="e">
        <f>(AP8+AP9+AP14+AP15)/4</f>
        <v>#REF!</v>
      </c>
      <c r="AQ7" s="96"/>
      <c r="AR7" s="97"/>
      <c r="AS7" s="101">
        <f>AS8+AS9+AS14+AS15</f>
        <v>2733569473</v>
      </c>
      <c r="AT7" s="95">
        <f t="shared" ref="AT7:AT23" si="7">AS7/C7*100%</f>
        <v>9.0856125426019063E-2</v>
      </c>
      <c r="AU7" s="95" t="e">
        <f>(AU8+AU9+AU14+AU15)/4</f>
        <v>#REF!</v>
      </c>
      <c r="AV7" s="96"/>
      <c r="AW7" s="97"/>
      <c r="AX7" s="101">
        <f>AX8+AX9+AX14+AX15</f>
        <v>2619534261</v>
      </c>
      <c r="AY7" s="95">
        <f t="shared" ref="AY7:AY23" si="8">AX7/C7*100%</f>
        <v>8.706591719213648E-2</v>
      </c>
      <c r="AZ7" s="95" t="e">
        <f>(AZ8+AZ9+AZ14+AZ15)/4</f>
        <v>#REF!</v>
      </c>
      <c r="BA7" s="96"/>
      <c r="BB7" s="97"/>
      <c r="BC7" s="101">
        <f>BC8+BC9+BC14+BC15</f>
        <v>4971422787</v>
      </c>
      <c r="BD7" s="95">
        <f t="shared" ref="BD7:BD23" si="9">BC7/C7*100%</f>
        <v>0.16523604640116688</v>
      </c>
      <c r="BE7" s="95" t="e">
        <f>(BE8+BE9+BE14+BE15)/4</f>
        <v>#REF!</v>
      </c>
      <c r="BF7" s="96"/>
      <c r="BG7" s="97"/>
      <c r="BH7" s="101">
        <f>BH8+BH9+BH14+BH15</f>
        <v>10075586077</v>
      </c>
      <c r="BI7" s="95">
        <f t="shared" ref="BI7:BI23" si="10">BH7/C7*100%</f>
        <v>0.3348840120561894</v>
      </c>
      <c r="BJ7" s="95" t="e">
        <f>(BJ8+BJ9+BJ14+BJ15)/4</f>
        <v>#REF!</v>
      </c>
      <c r="BK7" s="96"/>
      <c r="BL7" s="97"/>
      <c r="BM7" s="98">
        <f>BM8+BM9+BM14+BM15</f>
        <v>28669139885</v>
      </c>
      <c r="BN7" s="95">
        <f t="shared" ref="BN7:BN23" si="11">BM7/C7*100%</f>
        <v>0.95288120348702976</v>
      </c>
      <c r="BO7" s="102">
        <v>0.70789999999999997</v>
      </c>
      <c r="BP7" s="100"/>
      <c r="BQ7" s="97"/>
      <c r="BR7" s="92"/>
      <c r="BS7" s="103"/>
      <c r="BT7" s="104">
        <f>BT8+BT14</f>
        <v>-1417653495</v>
      </c>
      <c r="BU7" s="105">
        <f>AX8+BC8+BH8</f>
        <v>1238189075</v>
      </c>
    </row>
    <row r="8" spans="1:73" ht="38.25" customHeight="1" x14ac:dyDescent="0.25">
      <c r="A8" s="195" t="s">
        <v>24</v>
      </c>
      <c r="B8" s="196" t="s">
        <v>25</v>
      </c>
      <c r="C8" s="92">
        <v>1448095700</v>
      </c>
      <c r="D8" s="92">
        <f>5000+1650+4400</f>
        <v>11050</v>
      </c>
      <c r="E8" s="106"/>
      <c r="F8" s="95">
        <f t="shared" si="0"/>
        <v>0</v>
      </c>
      <c r="G8" s="107">
        <f>'PROGRESS FISIK'!C83</f>
        <v>0</v>
      </c>
      <c r="H8" s="108">
        <f>'PROGRESS FISIK'!D83</f>
        <v>0</v>
      </c>
      <c r="I8" s="107">
        <f t="shared" ref="I8:I23" si="12">H8/D8*100%</f>
        <v>0</v>
      </c>
      <c r="J8" s="109"/>
      <c r="K8" s="95">
        <f t="shared" ref="K8:K23" si="13">J8/C8*100%</f>
        <v>0</v>
      </c>
      <c r="L8" s="110">
        <f>'PROGRESS FISIK'!E83</f>
        <v>0</v>
      </c>
      <c r="M8" s="111">
        <f>'PROGRESS FISIK'!F83</f>
        <v>0</v>
      </c>
      <c r="N8" s="107">
        <f t="shared" ref="N8:N23" si="14">M8/D8*100%</f>
        <v>0</v>
      </c>
      <c r="O8" s="112">
        <v>58885500</v>
      </c>
      <c r="P8" s="95">
        <f t="shared" si="1"/>
        <v>4.0664094230788754E-2</v>
      </c>
      <c r="Q8" s="107">
        <f>'PROGRESS FISIK'!G83</f>
        <v>0</v>
      </c>
      <c r="R8" s="108">
        <f>'PROGRESS FISIK'!H83</f>
        <v>0</v>
      </c>
      <c r="S8" s="107">
        <f t="shared" ref="S8:S23" si="15">R8/D8*100%</f>
        <v>0</v>
      </c>
      <c r="T8" s="109">
        <v>21084000</v>
      </c>
      <c r="U8" s="95">
        <f t="shared" si="2"/>
        <v>1.4559811205847791E-2</v>
      </c>
      <c r="V8" s="107">
        <f>'PROGRESS FISIK'!I83</f>
        <v>0</v>
      </c>
      <c r="W8" s="108">
        <f>'PROGRESS FISIK'!J83</f>
        <v>0</v>
      </c>
      <c r="X8" s="107">
        <f t="shared" ref="X8:X23" si="16">W8/D8*100%</f>
        <v>0</v>
      </c>
      <c r="Y8" s="106"/>
      <c r="Z8" s="95">
        <f t="shared" si="3"/>
        <v>0</v>
      </c>
      <c r="AA8" s="107">
        <f>'PROGRESS FISIK'!K83</f>
        <v>0</v>
      </c>
      <c r="AB8" s="108">
        <f>'PROGRESS FISIK'!L83</f>
        <v>0</v>
      </c>
      <c r="AC8" s="107">
        <f t="shared" ref="AC8:AC23" si="17">AB8/D8*100%</f>
        <v>0</v>
      </c>
      <c r="AD8" s="106"/>
      <c r="AE8" s="95">
        <f t="shared" si="4"/>
        <v>0</v>
      </c>
      <c r="AF8" s="107">
        <f>'PROGRESS FISIK'!M83</f>
        <v>0</v>
      </c>
      <c r="AG8" s="108">
        <f>'PROGRESS FISIK'!N83</f>
        <v>0</v>
      </c>
      <c r="AH8" s="107">
        <f t="shared" ref="AH8:AH23" si="18">AG8/D8*100%</f>
        <v>0</v>
      </c>
      <c r="AI8" s="106"/>
      <c r="AJ8" s="95">
        <f t="shared" si="5"/>
        <v>0</v>
      </c>
      <c r="AK8" s="107">
        <f>'PROGRESS FISIK'!O83</f>
        <v>0</v>
      </c>
      <c r="AL8" s="108">
        <f>'PROGRESS FISIK'!P83</f>
        <v>0</v>
      </c>
      <c r="AM8" s="107">
        <f t="shared" ref="AM8:AM23" si="19">AL8/D8*100%</f>
        <v>0</v>
      </c>
      <c r="AN8" s="106"/>
      <c r="AO8" s="95">
        <f t="shared" si="6"/>
        <v>0</v>
      </c>
      <c r="AP8" s="107">
        <f>'PROGRESS FISIK'!Q83</f>
        <v>0</v>
      </c>
      <c r="AQ8" s="108">
        <f>'PROGRESS FISIK'!R83</f>
        <v>0</v>
      </c>
      <c r="AR8" s="107">
        <f t="shared" ref="AR8:AR23" si="20">AQ8/D8*100%</f>
        <v>0</v>
      </c>
      <c r="AS8" s="106">
        <v>99080875</v>
      </c>
      <c r="AT8" s="95">
        <f t="shared" si="7"/>
        <v>6.8421496590315128E-2</v>
      </c>
      <c r="AU8" s="107">
        <f>'PROGRESS FISIK'!S83</f>
        <v>3.5000000000000003E-2</v>
      </c>
      <c r="AV8" s="108">
        <f>'PROGRESS FISIK'!T83</f>
        <v>0</v>
      </c>
      <c r="AW8" s="107">
        <f t="shared" ref="AW8:AW23" si="21">AV8/D8*100%</f>
        <v>0</v>
      </c>
      <c r="AX8" s="109">
        <f>176064030+2550000+500000</f>
        <v>179114030</v>
      </c>
      <c r="AY8" s="95">
        <f t="shared" si="8"/>
        <v>0.1236893597570934</v>
      </c>
      <c r="AZ8" s="107">
        <f>'PROGRESS FISIK'!U83</f>
        <v>0.51190000000000002</v>
      </c>
      <c r="BA8" s="108">
        <f>'PROGRESS FISIK'!V83</f>
        <v>0</v>
      </c>
      <c r="BB8" s="107">
        <f t="shared" ref="BB8:BB23" si="22">BA8/D8*100%</f>
        <v>0</v>
      </c>
      <c r="BC8" s="112">
        <f>39604800+99080875</f>
        <v>138685675</v>
      </c>
      <c r="BD8" s="95">
        <f t="shared" si="9"/>
        <v>9.5771070240730644E-2</v>
      </c>
      <c r="BE8" s="107">
        <f>'PROGRESS FISIK'!W83</f>
        <v>0.66666666666666674</v>
      </c>
      <c r="BF8" s="108">
        <f>'PROGRESS FISIK'!X83</f>
        <v>4875</v>
      </c>
      <c r="BG8" s="107">
        <f t="shared" ref="BG8:BG23" si="23">BF8/D8*100%</f>
        <v>0.44117647058823528</v>
      </c>
      <c r="BH8" s="112">
        <f>10900000+14846250+39282900+410816070+414766150+29778000</f>
        <v>920389370</v>
      </c>
      <c r="BI8" s="95">
        <f t="shared" si="10"/>
        <v>0.63558601133889148</v>
      </c>
      <c r="BJ8" s="107">
        <f>'PROGRESS FISIK'!Y83</f>
        <v>1</v>
      </c>
      <c r="BK8" s="108">
        <f>'PROGRESS FISIK'!Z83</f>
        <v>6930</v>
      </c>
      <c r="BL8" s="107">
        <f t="shared" ref="BL8:BL23" si="24">BK8/D8*100%</f>
        <v>0.62714932126696832</v>
      </c>
      <c r="BM8" s="109">
        <f>E8+J8+O8+T8+Y8+AD8+AI8+AN8+AS8+AX8+BC8+BH8</f>
        <v>1417239450</v>
      </c>
      <c r="BN8" s="95">
        <f t="shared" si="11"/>
        <v>0.97869184336366721</v>
      </c>
      <c r="BO8" s="110">
        <f>'PROGRESS FISIK'!Y83</f>
        <v>1</v>
      </c>
      <c r="BP8" s="111">
        <f>'PROGRESS FISIK'!Z83</f>
        <v>6930</v>
      </c>
      <c r="BQ8" s="107">
        <f t="shared" ref="BQ8:BQ23" si="25">BP8/D8*100%</f>
        <v>0.62714932126696832</v>
      </c>
      <c r="BR8" s="202">
        <f>BM8+BM9</f>
        <v>22005857028</v>
      </c>
      <c r="BS8" s="203"/>
      <c r="BT8" s="204">
        <f>SUM(BT10:BT13)</f>
        <v>-1064130654</v>
      </c>
      <c r="BU8" s="113" t="s">
        <v>251</v>
      </c>
    </row>
    <row r="9" spans="1:73" ht="36" customHeight="1" x14ac:dyDescent="0.25">
      <c r="A9" s="176"/>
      <c r="B9" s="176"/>
      <c r="C9" s="92">
        <f>C10+C11+C12+C13-C8</f>
        <v>21621891982</v>
      </c>
      <c r="D9" s="92">
        <f>(D11+D12)-D8</f>
        <v>83048</v>
      </c>
      <c r="E9" s="106">
        <f>E10+E12+E13+E11</f>
        <v>0</v>
      </c>
      <c r="F9" s="95">
        <f t="shared" si="0"/>
        <v>0</v>
      </c>
      <c r="G9" s="107">
        <f>(G11+G12)/2</f>
        <v>0</v>
      </c>
      <c r="H9" s="114">
        <f>H11+H12</f>
        <v>0</v>
      </c>
      <c r="I9" s="107">
        <f t="shared" si="12"/>
        <v>0</v>
      </c>
      <c r="J9" s="109">
        <f>J10+J12+J13+J11</f>
        <v>48840000</v>
      </c>
      <c r="K9" s="95">
        <f t="shared" si="13"/>
        <v>2.2588217553144189E-3</v>
      </c>
      <c r="L9" s="110">
        <f>(L11+L12)/2</f>
        <v>0</v>
      </c>
      <c r="M9" s="115">
        <f>M11+M12</f>
        <v>0</v>
      </c>
      <c r="N9" s="107">
        <f t="shared" si="14"/>
        <v>0</v>
      </c>
      <c r="O9" s="112">
        <f>O10+(O11-O8)+O13+O12</f>
        <v>564290700</v>
      </c>
      <c r="P9" s="95">
        <f t="shared" si="1"/>
        <v>2.6098118539754345E-2</v>
      </c>
      <c r="Q9" s="107">
        <f>(Q11+Q12)/2</f>
        <v>0</v>
      </c>
      <c r="R9" s="114">
        <f>R11+R12</f>
        <v>0</v>
      </c>
      <c r="S9" s="107">
        <f t="shared" si="15"/>
        <v>0</v>
      </c>
      <c r="T9" s="112">
        <f>T10+(T11-T8)+T13+T12</f>
        <v>537639350</v>
      </c>
      <c r="U9" s="95">
        <f t="shared" si="2"/>
        <v>2.4865509015010303E-2</v>
      </c>
      <c r="V9" s="107">
        <f>(V11+V12)/2</f>
        <v>0</v>
      </c>
      <c r="W9" s="114">
        <f>W11+W12</f>
        <v>0</v>
      </c>
      <c r="X9" s="107">
        <f t="shared" si="16"/>
        <v>0</v>
      </c>
      <c r="Y9" s="106">
        <f>Y10+Y12+Y13+Y11</f>
        <v>0</v>
      </c>
      <c r="Z9" s="95">
        <f t="shared" si="3"/>
        <v>0</v>
      </c>
      <c r="AA9" s="107">
        <f>(AA11+AA12)/2</f>
        <v>0</v>
      </c>
      <c r="AB9" s="114">
        <f>AB11+AB12</f>
        <v>0</v>
      </c>
      <c r="AC9" s="107">
        <f t="shared" si="17"/>
        <v>0</v>
      </c>
      <c r="AD9" s="106">
        <f>AD10+AD12+AD13+AD11</f>
        <v>880118535</v>
      </c>
      <c r="AE9" s="95">
        <f t="shared" si="4"/>
        <v>4.0704973261946248E-2</v>
      </c>
      <c r="AF9" s="107">
        <f>(AF11+AF12)/2</f>
        <v>0</v>
      </c>
      <c r="AG9" s="114">
        <f>AG11+AG12</f>
        <v>0</v>
      </c>
      <c r="AH9" s="107">
        <f t="shared" si="18"/>
        <v>0</v>
      </c>
      <c r="AI9" s="106">
        <f>AI10+AI12+AI13+AI11</f>
        <v>1647513241</v>
      </c>
      <c r="AJ9" s="95">
        <f t="shared" si="5"/>
        <v>7.6196534622018169E-2</v>
      </c>
      <c r="AK9" s="107">
        <f>(AK11+AK12)/2</f>
        <v>0.18968636363636365</v>
      </c>
      <c r="AL9" s="114">
        <f>AL11+AL12</f>
        <v>5265</v>
      </c>
      <c r="AM9" s="107">
        <f t="shared" si="19"/>
        <v>6.3397071573066177E-2</v>
      </c>
      <c r="AN9" s="106">
        <f>AN10+AN12+AN13+AN11</f>
        <v>1332568867</v>
      </c>
      <c r="AO9" s="95">
        <f t="shared" si="6"/>
        <v>6.1630539460161476E-2</v>
      </c>
      <c r="AP9" s="107">
        <f>(AP11+AP12)/2</f>
        <v>0.29470909090909092</v>
      </c>
      <c r="AQ9" s="114">
        <f>AQ11+AQ12</f>
        <v>19998.3</v>
      </c>
      <c r="AR9" s="107">
        <f t="shared" si="20"/>
        <v>0.24080411328388401</v>
      </c>
      <c r="AS9" s="106">
        <f>(AS10+AS12+AS13+AS11)-AS8</f>
        <v>1677781781</v>
      </c>
      <c r="AT9" s="95">
        <f t="shared" si="7"/>
        <v>7.7596437092403187E-2</v>
      </c>
      <c r="AU9" s="107">
        <f>(AU11+AU12)/2</f>
        <v>0.55900151515151508</v>
      </c>
      <c r="AV9" s="114">
        <f>AV11+AV12</f>
        <v>28706.3</v>
      </c>
      <c r="AW9" s="107">
        <f t="shared" si="21"/>
        <v>0.34565913688469319</v>
      </c>
      <c r="AX9" s="109">
        <f>(AX10+AX12+AX13+AX11)-AX8</f>
        <v>1813090219</v>
      </c>
      <c r="AY9" s="95">
        <f t="shared" si="8"/>
        <v>8.3854374099610648E-2</v>
      </c>
      <c r="AZ9" s="107">
        <f>(AZ11+AZ12)/2</f>
        <v>0.81213636363636366</v>
      </c>
      <c r="BA9" s="114">
        <f>BA11+BA12</f>
        <v>45371.3</v>
      </c>
      <c r="BB9" s="107">
        <f t="shared" si="22"/>
        <v>0.54632622098063777</v>
      </c>
      <c r="BC9" s="112">
        <f>(BC10+BC12+BC13+BC11)-BC8</f>
        <v>4096037833</v>
      </c>
      <c r="BD9" s="95">
        <f t="shared" si="9"/>
        <v>0.18943938099449895</v>
      </c>
      <c r="BE9" s="107">
        <f>(BE11+BE12)/2</f>
        <v>0.84924242424242424</v>
      </c>
      <c r="BF9" s="114">
        <f>BF11+BF12</f>
        <v>72522.3</v>
      </c>
      <c r="BG9" s="107">
        <f t="shared" si="23"/>
        <v>0.87325763413929303</v>
      </c>
      <c r="BH9" s="112">
        <f>(BH10+BH12+BH13+BH11)-BH8</f>
        <v>7990737052</v>
      </c>
      <c r="BI9" s="95">
        <f t="shared" si="10"/>
        <v>0.36956696752773555</v>
      </c>
      <c r="BJ9" s="107">
        <f>(BJ11+BJ12)/2</f>
        <v>0.98484848484848486</v>
      </c>
      <c r="BK9" s="114">
        <f>BK11+BK12</f>
        <v>96591.3</v>
      </c>
      <c r="BL9" s="107">
        <f t="shared" si="24"/>
        <v>1.1630779790000965</v>
      </c>
      <c r="BM9" s="109">
        <f>(BM10+BM12+BM13+BM11)-BM8</f>
        <v>20588617578</v>
      </c>
      <c r="BN9" s="95">
        <f t="shared" si="11"/>
        <v>0.95221165636845329</v>
      </c>
      <c r="BO9" s="110">
        <f>(BO11+BO12)/2</f>
        <v>0.98484848484848486</v>
      </c>
      <c r="BP9" s="115">
        <f>(BP11+BP12+BP10)-BP8</f>
        <v>90836.800000000003</v>
      </c>
      <c r="BQ9" s="107">
        <f t="shared" si="25"/>
        <v>1.0937867257489644</v>
      </c>
      <c r="BR9" s="180"/>
      <c r="BS9" s="180"/>
      <c r="BT9" s="182"/>
      <c r="BU9" s="113" t="s">
        <v>252</v>
      </c>
    </row>
    <row r="10" spans="1:73" ht="211.5" customHeight="1" x14ac:dyDescent="0.2">
      <c r="A10" s="90" t="s">
        <v>26</v>
      </c>
      <c r="B10" s="116" t="s">
        <v>27</v>
      </c>
      <c r="C10" s="117">
        <v>10647830402</v>
      </c>
      <c r="D10" s="118">
        <v>781</v>
      </c>
      <c r="E10" s="119"/>
      <c r="F10" s="120">
        <f t="shared" si="0"/>
        <v>0</v>
      </c>
      <c r="G10" s="121">
        <f>'PROGRESS FISIK'!C48</f>
        <v>0</v>
      </c>
      <c r="H10" s="119">
        <f>'PROGRESS FISIK'!D48</f>
        <v>0</v>
      </c>
      <c r="I10" s="122">
        <f t="shared" si="12"/>
        <v>0</v>
      </c>
      <c r="J10" s="28"/>
      <c r="K10" s="123">
        <f t="shared" si="13"/>
        <v>0</v>
      </c>
      <c r="L10" s="124">
        <f>'PROGRESS FISIK'!E48</f>
        <v>0</v>
      </c>
      <c r="M10" s="24">
        <f>'PROGRESS FISIK'!F48</f>
        <v>0</v>
      </c>
      <c r="N10" s="122">
        <f t="shared" si="14"/>
        <v>0</v>
      </c>
      <c r="O10" s="125">
        <f>24642000+78588000+43623000+59052000+58463700</f>
        <v>264368700</v>
      </c>
      <c r="P10" s="123">
        <f t="shared" si="1"/>
        <v>2.4828410109757493E-2</v>
      </c>
      <c r="Q10" s="121">
        <f>'PROGRESS FISIK'!G48</f>
        <v>0</v>
      </c>
      <c r="R10" s="119">
        <f>'PROGRESS FISIK'!H48</f>
        <v>0</v>
      </c>
      <c r="S10" s="122">
        <f t="shared" si="15"/>
        <v>0</v>
      </c>
      <c r="T10" s="51">
        <v>206364500</v>
      </c>
      <c r="U10" s="123">
        <f t="shared" si="2"/>
        <v>1.9380896596666135E-2</v>
      </c>
      <c r="V10" s="121">
        <f>'PROGRESS FISIK'!I48</f>
        <v>0</v>
      </c>
      <c r="W10" s="119">
        <f>'PROGRESS FISIK'!J48</f>
        <v>0</v>
      </c>
      <c r="X10" s="122">
        <f t="shared" si="16"/>
        <v>0</v>
      </c>
      <c r="Y10" s="119"/>
      <c r="Z10" s="123">
        <f t="shared" si="3"/>
        <v>0</v>
      </c>
      <c r="AA10" s="121">
        <f>'PROGRESS FISIK'!K48</f>
        <v>0</v>
      </c>
      <c r="AB10" s="119">
        <f>'PROGRESS FISIK'!L48</f>
        <v>0</v>
      </c>
      <c r="AC10" s="122">
        <f t="shared" si="17"/>
        <v>0</v>
      </c>
      <c r="AD10" s="126">
        <f>98988250+98951125+98869950</f>
        <v>296809325</v>
      </c>
      <c r="AE10" s="123">
        <f t="shared" si="4"/>
        <v>2.7875098850583663E-2</v>
      </c>
      <c r="AF10" s="121">
        <f>'PROGRESS FISIK'!M48</f>
        <v>1.0047368421052631E-2</v>
      </c>
      <c r="AG10" s="119">
        <f>'PROGRESS FISIK'!N48</f>
        <v>0</v>
      </c>
      <c r="AH10" s="122">
        <f t="shared" si="18"/>
        <v>0</v>
      </c>
      <c r="AI10" s="127">
        <f>98981675+98998650+98897550+98708300+98998725</f>
        <v>494584900</v>
      </c>
      <c r="AJ10" s="123">
        <f t="shared" si="5"/>
        <v>4.6449359289860707E-2</v>
      </c>
      <c r="AK10" s="121">
        <f>'PROGRESS FISIK'!O48</f>
        <v>0.12886315789473685</v>
      </c>
      <c r="AL10" s="119">
        <f>'PROGRESS FISIK'!P48</f>
        <v>0</v>
      </c>
      <c r="AM10" s="122">
        <f t="shared" si="19"/>
        <v>0</v>
      </c>
      <c r="AN10" s="119">
        <f>98736900+98869950+98951125+98988250+29526000+98897550</f>
        <v>523969775</v>
      </c>
      <c r="AO10" s="123">
        <f t="shared" si="6"/>
        <v>4.9209064684349393E-2</v>
      </c>
      <c r="AP10" s="121">
        <f>'PROGRESS FISIK'!Q48</f>
        <v>0.22904736842105261</v>
      </c>
      <c r="AQ10" s="119">
        <f>'PROGRESS FISIK'!R48</f>
        <v>121</v>
      </c>
      <c r="AR10" s="122">
        <f t="shared" si="20"/>
        <v>0.15492957746478872</v>
      </c>
      <c r="AS10" s="119">
        <f>100464876+98736900</f>
        <v>199201776</v>
      </c>
      <c r="AT10" s="123">
        <f t="shared" si="7"/>
        <v>1.8708203312722146E-2</v>
      </c>
      <c r="AU10" s="121">
        <f>'PROGRESS FISIK'!S48</f>
        <v>0.53726842105263151</v>
      </c>
      <c r="AV10" s="119">
        <f>'PROGRESS FISIK'!T48</f>
        <v>263</v>
      </c>
      <c r="AW10" s="122">
        <f t="shared" si="21"/>
        <v>0.33674775928297057</v>
      </c>
      <c r="AX10" s="128">
        <f>98998725+98998650+14701950+198042900+197496350+19647000+98981675+14707500+14652000+14652000+17200000+12300000+98708300</f>
        <v>899087050</v>
      </c>
      <c r="AY10" s="123">
        <f t="shared" si="8"/>
        <v>8.4438520905735212E-2</v>
      </c>
      <c r="AZ10" s="121">
        <f>'PROGRESS FISIK'!U48</f>
        <v>0.43929714285714283</v>
      </c>
      <c r="BA10" s="119">
        <f>'PROGRESS FISIK'!V48</f>
        <v>427.5</v>
      </c>
      <c r="BB10" s="122">
        <f t="shared" si="22"/>
        <v>0.54737516005121634</v>
      </c>
      <c r="BC10" s="129">
        <f>49561500+343961742+111601408+29637000+39627000+19647000+19647000+59496000+19647000+39482700+19647000+49561500+49506000+19647000+19647000+257661604+305836000+322859870+73411104+73450237+14701950+29637000+19591500+24586500+24586500+98769925+97847950+99033900+99142150+14763000</f>
        <v>2446196040</v>
      </c>
      <c r="BD10" s="123">
        <f t="shared" si="9"/>
        <v>0.22973657051680002</v>
      </c>
      <c r="BE10" s="121">
        <f>'PROGRESS FISIK'!W48</f>
        <v>0.51173999999999997</v>
      </c>
      <c r="BF10" s="119">
        <f>'PROGRESS FISIK'!X48</f>
        <v>514.5</v>
      </c>
      <c r="BG10" s="122">
        <f t="shared" si="23"/>
        <v>0.65877080665813059</v>
      </c>
      <c r="BH10" s="125">
        <f>98991750+144999735+77283870+98771550+27350000+16800000+107097173+98965100+122816636+10750000+14818500+28582500+14836500+98769925+97847950+15900000+16250000+14000000+13800000+14836500+29526000+19647000+14707500+14778000+14789000+14764000+29809050+39778000+171383885+29778000+197968300+99033900+44819000+197882300+338332715+515446640+244853100+171292576+197881700+98991750+99142150+198279300+98965100+445268840+98771550+29534300+14714000+352921362+19778000</f>
        <v>4976304707</v>
      </c>
      <c r="BI10" s="123">
        <f t="shared" si="10"/>
        <v>0.46735386638627269</v>
      </c>
      <c r="BJ10" s="121">
        <f>'PROGRESS FISIK'!Y48</f>
        <v>1</v>
      </c>
      <c r="BK10" s="119">
        <f>'PROGRESS FISIK'!Z48</f>
        <v>1175.5</v>
      </c>
      <c r="BL10" s="122">
        <f t="shared" si="24"/>
        <v>1.5051216389244557</v>
      </c>
      <c r="BM10" s="130">
        <f t="shared" ref="BM10:BM13" si="26">E10+J10+O10+T10+Y10+AD10+AI10+AN10+AS10+AX10+BC10+BH10</f>
        <v>10306886773</v>
      </c>
      <c r="BN10" s="131">
        <f t="shared" si="11"/>
        <v>0.96797999065274742</v>
      </c>
      <c r="BO10" s="132">
        <f t="shared" ref="BO10:BP10" si="27">BJ10</f>
        <v>1</v>
      </c>
      <c r="BP10" s="133">
        <f t="shared" si="27"/>
        <v>1175.5</v>
      </c>
      <c r="BQ10" s="134">
        <f t="shared" si="25"/>
        <v>1.5051216389244557</v>
      </c>
      <c r="BR10" s="26" t="s">
        <v>253</v>
      </c>
      <c r="BS10" s="135" t="s">
        <v>254</v>
      </c>
      <c r="BT10" s="51">
        <f t="shared" ref="BT10:BT13" si="28">BM10-C10</f>
        <v>-340943629</v>
      </c>
      <c r="BU10" s="136">
        <f t="shared" ref="BU10:BU13" si="29">AX10+BC10+BH10</f>
        <v>8321587797</v>
      </c>
    </row>
    <row r="11" spans="1:73" ht="257.25" customHeight="1" x14ac:dyDescent="0.2">
      <c r="A11" s="90" t="s">
        <v>95</v>
      </c>
      <c r="B11" s="116" t="s">
        <v>96</v>
      </c>
      <c r="C11" s="117">
        <v>11792417080</v>
      </c>
      <c r="D11" s="118">
        <v>87248</v>
      </c>
      <c r="E11" s="119"/>
      <c r="F11" s="120">
        <f t="shared" si="0"/>
        <v>0</v>
      </c>
      <c r="G11" s="121">
        <f>'PROGRESS FISIK'!C85</f>
        <v>0</v>
      </c>
      <c r="H11" s="126">
        <f>'PROGRESS FISIK'!D84+'PROGRESS FISIK'!D83</f>
        <v>0</v>
      </c>
      <c r="I11" s="122">
        <f t="shared" si="12"/>
        <v>0</v>
      </c>
      <c r="J11" s="125">
        <v>48840000</v>
      </c>
      <c r="K11" s="123">
        <f t="shared" si="13"/>
        <v>4.1416445558759016E-3</v>
      </c>
      <c r="L11" s="124">
        <f>'PROGRESS FISIK'!E85</f>
        <v>0</v>
      </c>
      <c r="M11" s="71">
        <f>'PROGRESS FISIK'!F84+'PROGRESS FISIK'!F83</f>
        <v>0</v>
      </c>
      <c r="N11" s="122">
        <f t="shared" si="14"/>
        <v>0</v>
      </c>
      <c r="O11" s="125">
        <f>98235000+19647000+216505500</f>
        <v>334387500</v>
      </c>
      <c r="P11" s="123">
        <f t="shared" si="1"/>
        <v>2.8356145964945807E-2</v>
      </c>
      <c r="Q11" s="124">
        <f>'PROGRESS FISIK'!G85</f>
        <v>0</v>
      </c>
      <c r="R11" s="126">
        <f>'PROGRESS FISIK'!H84+'PROGRESS FISIK'!H83</f>
        <v>0</v>
      </c>
      <c r="S11" s="122">
        <f t="shared" si="15"/>
        <v>0</v>
      </c>
      <c r="T11" s="51">
        <f>252607500</f>
        <v>252607500</v>
      </c>
      <c r="U11" s="123">
        <f t="shared" si="2"/>
        <v>2.1421180940794878E-2</v>
      </c>
      <c r="V11" s="124">
        <f>'PROGRESS FISIK'!I85</f>
        <v>0</v>
      </c>
      <c r="W11" s="126">
        <f>'PROGRESS FISIK'!J84+'PROGRESS FISIK'!J83</f>
        <v>0</v>
      </c>
      <c r="X11" s="122">
        <f t="shared" si="16"/>
        <v>0</v>
      </c>
      <c r="Y11" s="119"/>
      <c r="Z11" s="123">
        <f t="shared" si="3"/>
        <v>0</v>
      </c>
      <c r="AA11" s="124">
        <f>'PROGRESS FISIK'!K85</f>
        <v>0</v>
      </c>
      <c r="AB11" s="126">
        <f>'PROGRESS FISIK'!L84+'PROGRESS FISIK'!L83</f>
        <v>0</v>
      </c>
      <c r="AC11" s="122">
        <f t="shared" si="17"/>
        <v>0</v>
      </c>
      <c r="AD11" s="127">
        <f>292149510+96128075+96128000+98903625</f>
        <v>583309210</v>
      </c>
      <c r="AE11" s="123">
        <f t="shared" si="4"/>
        <v>4.9464770966191098E-2</v>
      </c>
      <c r="AF11" s="124">
        <f>'PROGRESS FISIK'!M85</f>
        <v>0</v>
      </c>
      <c r="AG11" s="126">
        <f>'PROGRESS FISIK'!N84+'PROGRESS FISIK'!N83</f>
        <v>0</v>
      </c>
      <c r="AH11" s="122">
        <f t="shared" si="18"/>
        <v>0</v>
      </c>
      <c r="AI11" s="137">
        <f>98346000+135333391+98958075+131697900+98947000+98768725+ 99036200+99035250+96128075+97826375</f>
        <v>1054076991</v>
      </c>
      <c r="AJ11" s="123">
        <f t="shared" si="5"/>
        <v>8.9385999820827233E-2</v>
      </c>
      <c r="AK11" s="124">
        <f>'PROGRESS FISIK'!O85</f>
        <v>4.6039393939393942E-2</v>
      </c>
      <c r="AL11" s="126">
        <f>'PROGRESS FISIK'!P84+'PROGRESS FISIK'!P83</f>
        <v>2000</v>
      </c>
      <c r="AM11" s="122">
        <f t="shared" si="19"/>
        <v>2.2923161562442691E-2</v>
      </c>
      <c r="AN11" s="119">
        <f>96342850+97772900+257247382+172929960+96128000</f>
        <v>720421092</v>
      </c>
      <c r="AO11" s="123">
        <f t="shared" si="6"/>
        <v>6.1091893808762739E-2</v>
      </c>
      <c r="AP11" s="124">
        <f>'PROGRESS FISIK'!Q85</f>
        <v>0.25608484848484847</v>
      </c>
      <c r="AQ11" s="126">
        <f>'PROGRESS FISIK'!R84+'PROGRESS FISIK'!R83</f>
        <v>16733.3</v>
      </c>
      <c r="AR11" s="122">
        <f t="shared" si="20"/>
        <v>0.19179006968641113</v>
      </c>
      <c r="AS11" s="119">
        <f>99080875+98973200+124762448+197745950+98903625+97826375+96342850+98768725+141274532+144530400+198070500</f>
        <v>1396279480</v>
      </c>
      <c r="AT11" s="123">
        <f t="shared" si="7"/>
        <v>0.1184048588620646</v>
      </c>
      <c r="AU11" s="124">
        <f>'PROGRESS FISIK'!S85</f>
        <v>0.45133636363636354</v>
      </c>
      <c r="AV11" s="126">
        <f>'PROGRESS FISIK'!T84+'PROGRESS FISIK'!T83</f>
        <v>22441.3</v>
      </c>
      <c r="AW11" s="122">
        <f t="shared" si="21"/>
        <v>0.2572127727856226</v>
      </c>
      <c r="AX11" s="128">
        <f>176064030+14763000+24697500+17038500+198056350+164338969+15400000+98973200+10750000+74370000+900000+191987250</f>
        <v>987338799</v>
      </c>
      <c r="AY11" s="123">
        <f t="shared" si="8"/>
        <v>8.3726583982051628E-2</v>
      </c>
      <c r="AZ11" s="124">
        <f>'PROGRESS FISIK'!U85</f>
        <v>0.6242727272727272</v>
      </c>
      <c r="BA11" s="126">
        <f>'PROGRESS FISIK'!V84+'PROGRESS FISIK'!V83</f>
        <v>35906.300000000003</v>
      </c>
      <c r="BB11" s="122">
        <f t="shared" si="22"/>
        <v>0.41154295800476803</v>
      </c>
      <c r="BC11" s="129">
        <f>49506000+39627000+39604800+39604800+19647000+39627000+39627000+19647000+39627000+14652000+166020568+98958075+330874700+99080875+97668750+29526000+29637000+29526000+99035250+99036200+98681350+29526000+29526000+14818500+97669700+97772900</f>
        <v>1788527468</v>
      </c>
      <c r="BD11" s="123">
        <f t="shared" si="9"/>
        <v>0.15166758908428976</v>
      </c>
      <c r="BE11" s="124">
        <f>'PROGRESS FISIK'!W85</f>
        <v>0.69848484848484849</v>
      </c>
      <c r="BF11" s="126">
        <f>'PROGRESS FISIK'!X84+'PROGRESS FISIK'!X83</f>
        <v>63057.3</v>
      </c>
      <c r="BG11" s="122">
        <f t="shared" si="23"/>
        <v>0.72273633779570878</v>
      </c>
      <c r="BH11" s="125">
        <f>31000000+19400000+125880507+13200000+98681350+98947000+403503240+39294000+14818500+12900000+15000000+3500000+8200000+9200000+29526000+39282900+29692500+14778000+14859000+29859000+410816070+97669700+97668750+197895500+422877600+293721182+422932891+414766150+358514375+29778000+29803500+29778000+29739000+29764000</f>
        <v>3917246715</v>
      </c>
      <c r="BI11" s="123">
        <f t="shared" si="10"/>
        <v>0.3321835284848999</v>
      </c>
      <c r="BJ11" s="124">
        <f>'PROGRESS FISIK'!Y85</f>
        <v>0.96969696969696972</v>
      </c>
      <c r="BK11" s="126">
        <f>'PROGRESS FISIK'!Z84+'PROGRESS FISIK'!Z83</f>
        <v>87126.3</v>
      </c>
      <c r="BL11" s="122">
        <f t="shared" si="24"/>
        <v>0.99860512561892545</v>
      </c>
      <c r="BM11" s="130">
        <f t="shared" si="26"/>
        <v>11083034755</v>
      </c>
      <c r="BN11" s="131">
        <f t="shared" si="11"/>
        <v>0.9398441964707035</v>
      </c>
      <c r="BO11" s="132">
        <f t="shared" ref="BO11:BP11" si="30">BJ11</f>
        <v>0.96969696969696972</v>
      </c>
      <c r="BP11" s="138">
        <f t="shared" si="30"/>
        <v>87126.3</v>
      </c>
      <c r="BQ11" s="134">
        <f t="shared" si="25"/>
        <v>0.99860512561892545</v>
      </c>
      <c r="BR11" s="26" t="s">
        <v>255</v>
      </c>
      <c r="BS11" s="26" t="s">
        <v>256</v>
      </c>
      <c r="BT11" s="51">
        <f t="shared" si="28"/>
        <v>-709382325</v>
      </c>
      <c r="BU11" s="136">
        <f t="shared" si="29"/>
        <v>6693112982</v>
      </c>
    </row>
    <row r="12" spans="1:73" ht="126.75" customHeight="1" x14ac:dyDescent="0.2">
      <c r="A12" s="90" t="s">
        <v>169</v>
      </c>
      <c r="B12" s="116" t="s">
        <v>170</v>
      </c>
      <c r="C12" s="117">
        <v>583140200</v>
      </c>
      <c r="D12" s="118">
        <v>6850</v>
      </c>
      <c r="E12" s="119"/>
      <c r="F12" s="120">
        <f t="shared" si="0"/>
        <v>0</v>
      </c>
      <c r="G12" s="121">
        <f>'PROGRESS FISIK'!C90</f>
        <v>0</v>
      </c>
      <c r="H12" s="119">
        <f>'PROGRESS FISIK'!D90</f>
        <v>0</v>
      </c>
      <c r="I12" s="122">
        <f t="shared" si="12"/>
        <v>0</v>
      </c>
      <c r="J12" s="128">
        <v>0</v>
      </c>
      <c r="K12" s="123">
        <f t="shared" si="13"/>
        <v>0</v>
      </c>
      <c r="L12" s="124">
        <f>'PROGRESS FISIK'!E90</f>
        <v>0</v>
      </c>
      <c r="M12" s="24">
        <f>'PROGRESS FISIK'!F90</f>
        <v>0</v>
      </c>
      <c r="N12" s="122">
        <f t="shared" si="14"/>
        <v>0</v>
      </c>
      <c r="O12" s="125">
        <v>24420000</v>
      </c>
      <c r="P12" s="123">
        <f t="shared" si="1"/>
        <v>4.1876721927248367E-2</v>
      </c>
      <c r="Q12" s="121">
        <f>'PROGRESS FISIK'!G90</f>
        <v>0</v>
      </c>
      <c r="R12" s="119">
        <f>'PROGRESS FISIK'!H90</f>
        <v>0</v>
      </c>
      <c r="S12" s="122">
        <f t="shared" si="15"/>
        <v>0</v>
      </c>
      <c r="T12" s="51">
        <f>99751350</f>
        <v>99751350</v>
      </c>
      <c r="U12" s="123">
        <f t="shared" si="2"/>
        <v>0.17105894946018127</v>
      </c>
      <c r="V12" s="121">
        <f>'PROGRESS FISIK'!I90</f>
        <v>0</v>
      </c>
      <c r="W12" s="119">
        <f>'PROGRESS FISIK'!J90</f>
        <v>0</v>
      </c>
      <c r="X12" s="122">
        <f t="shared" si="16"/>
        <v>0</v>
      </c>
      <c r="Y12" s="119"/>
      <c r="Z12" s="123">
        <f t="shared" si="3"/>
        <v>0</v>
      </c>
      <c r="AA12" s="121">
        <f>'PROGRESS FISIK'!K90</f>
        <v>0</v>
      </c>
      <c r="AB12" s="119">
        <f>'PROGRESS FISIK'!L90</f>
        <v>0</v>
      </c>
      <c r="AC12" s="122">
        <f t="shared" si="17"/>
        <v>0</v>
      </c>
      <c r="AD12" s="119"/>
      <c r="AE12" s="123">
        <f t="shared" si="4"/>
        <v>0</v>
      </c>
      <c r="AF12" s="121">
        <f>'PROGRESS FISIK'!M90</f>
        <v>0</v>
      </c>
      <c r="AG12" s="119">
        <f>'PROGRESS FISIK'!N90</f>
        <v>0</v>
      </c>
      <c r="AH12" s="122">
        <f t="shared" si="18"/>
        <v>0</v>
      </c>
      <c r="AI12" s="51">
        <v>98851350</v>
      </c>
      <c r="AJ12" s="123">
        <f t="shared" si="5"/>
        <v>0.16951558133018441</v>
      </c>
      <c r="AK12" s="121">
        <f>'PROGRESS FISIK'!O90</f>
        <v>0.33333333333333337</v>
      </c>
      <c r="AL12" s="119">
        <f>'PROGRESS FISIK'!P90</f>
        <v>3265</v>
      </c>
      <c r="AM12" s="122">
        <f t="shared" si="19"/>
        <v>0.47664233576642334</v>
      </c>
      <c r="AN12" s="119">
        <v>88178000</v>
      </c>
      <c r="AO12" s="123">
        <f t="shared" si="6"/>
        <v>0.15121234996318209</v>
      </c>
      <c r="AP12" s="121">
        <f>'PROGRESS FISIK'!Q90</f>
        <v>0.33333333333333337</v>
      </c>
      <c r="AQ12" s="119">
        <f>'PROGRESS FISIK'!R90</f>
        <v>3265</v>
      </c>
      <c r="AR12" s="122">
        <f t="shared" si="20"/>
        <v>0.47664233576642334</v>
      </c>
      <c r="AS12" s="119">
        <f>88178000+88253400+4950000</f>
        <v>181381400</v>
      </c>
      <c r="AT12" s="123">
        <f t="shared" si="7"/>
        <v>0.31104252459357118</v>
      </c>
      <c r="AU12" s="121">
        <f>'PROGRESS FISIK'!S90</f>
        <v>0.66666666666666674</v>
      </c>
      <c r="AV12" s="119">
        <f>'PROGRESS FISIK'!T90</f>
        <v>6265</v>
      </c>
      <c r="AW12" s="122">
        <f t="shared" si="21"/>
        <v>0.91459854014598541</v>
      </c>
      <c r="AX12" s="129">
        <v>88253400</v>
      </c>
      <c r="AY12" s="123">
        <f t="shared" si="8"/>
        <v>0.15134164991540627</v>
      </c>
      <c r="AZ12" s="121">
        <f>'PROGRESS FISIK'!U90</f>
        <v>1</v>
      </c>
      <c r="BA12" s="119">
        <f>'PROGRESS FISIK'!V90</f>
        <v>9465</v>
      </c>
      <c r="BB12" s="122">
        <f t="shared" si="22"/>
        <v>1.3817518248175182</v>
      </c>
      <c r="BC12" s="129"/>
      <c r="BD12" s="123">
        <f t="shared" si="9"/>
        <v>0</v>
      </c>
      <c r="BE12" s="121">
        <f>'PROGRESS FISIK'!W90</f>
        <v>1</v>
      </c>
      <c r="BF12" s="119">
        <f>'PROGRESS FISIK'!X90</f>
        <v>9465</v>
      </c>
      <c r="BG12" s="122">
        <f t="shared" si="23"/>
        <v>1.3817518248175182</v>
      </c>
      <c r="BH12" s="125">
        <v>0</v>
      </c>
      <c r="BI12" s="123">
        <f t="shared" si="10"/>
        <v>0</v>
      </c>
      <c r="BJ12" s="121">
        <f>'PROGRESS FISIK'!Y90</f>
        <v>1</v>
      </c>
      <c r="BK12" s="119">
        <f>'PROGRESS FISIK'!Z90</f>
        <v>9465</v>
      </c>
      <c r="BL12" s="122">
        <f t="shared" si="24"/>
        <v>1.3817518248175182</v>
      </c>
      <c r="BM12" s="139">
        <f t="shared" si="26"/>
        <v>580835500</v>
      </c>
      <c r="BN12" s="140">
        <f t="shared" si="11"/>
        <v>0.99604777718977355</v>
      </c>
      <c r="BO12" s="141">
        <f t="shared" ref="BO12:BP12" si="31">BJ12</f>
        <v>1</v>
      </c>
      <c r="BP12" s="142">
        <f t="shared" si="31"/>
        <v>9465</v>
      </c>
      <c r="BQ12" s="143">
        <f t="shared" si="25"/>
        <v>1.3817518248175182</v>
      </c>
      <c r="BR12" s="26" t="s">
        <v>257</v>
      </c>
      <c r="BS12" s="135" t="s">
        <v>254</v>
      </c>
      <c r="BT12" s="51">
        <f t="shared" si="28"/>
        <v>-2304700</v>
      </c>
      <c r="BU12" s="144">
        <f t="shared" si="29"/>
        <v>88253400</v>
      </c>
    </row>
    <row r="13" spans="1:73" ht="178.5" x14ac:dyDescent="0.2">
      <c r="A13" s="90" t="s">
        <v>198</v>
      </c>
      <c r="B13" s="116" t="s">
        <v>258</v>
      </c>
      <c r="C13" s="117">
        <v>46600000</v>
      </c>
      <c r="D13" s="145">
        <v>20</v>
      </c>
      <c r="E13" s="119"/>
      <c r="F13" s="120">
        <f t="shared" si="0"/>
        <v>0</v>
      </c>
      <c r="G13" s="119"/>
      <c r="H13" s="119"/>
      <c r="I13" s="122">
        <f t="shared" si="12"/>
        <v>0</v>
      </c>
      <c r="J13" s="28"/>
      <c r="K13" s="123">
        <f t="shared" si="13"/>
        <v>0</v>
      </c>
      <c r="L13" s="24"/>
      <c r="M13" s="24"/>
      <c r="N13" s="122">
        <f t="shared" si="14"/>
        <v>0</v>
      </c>
      <c r="O13" s="125"/>
      <c r="P13" s="123">
        <f t="shared" si="1"/>
        <v>0</v>
      </c>
      <c r="Q13" s="119"/>
      <c r="R13" s="119"/>
      <c r="S13" s="122">
        <f t="shared" si="15"/>
        <v>0</v>
      </c>
      <c r="T13" s="24"/>
      <c r="U13" s="123">
        <f t="shared" si="2"/>
        <v>0</v>
      </c>
      <c r="V13" s="119"/>
      <c r="W13" s="119"/>
      <c r="X13" s="122">
        <f t="shared" si="16"/>
        <v>0</v>
      </c>
      <c r="Y13" s="119"/>
      <c r="Z13" s="123">
        <f t="shared" si="3"/>
        <v>0</v>
      </c>
      <c r="AA13" s="119"/>
      <c r="AB13" s="119"/>
      <c r="AC13" s="122">
        <f t="shared" si="17"/>
        <v>0</v>
      </c>
      <c r="AD13" s="119"/>
      <c r="AE13" s="123">
        <f t="shared" si="4"/>
        <v>0</v>
      </c>
      <c r="AF13" s="119"/>
      <c r="AG13" s="119"/>
      <c r="AH13" s="122">
        <f t="shared" si="18"/>
        <v>0</v>
      </c>
      <c r="AI13" s="119"/>
      <c r="AJ13" s="123">
        <f t="shared" si="5"/>
        <v>0</v>
      </c>
      <c r="AK13" s="119"/>
      <c r="AL13" s="119"/>
      <c r="AM13" s="122">
        <f t="shared" si="19"/>
        <v>0</v>
      </c>
      <c r="AN13" s="119"/>
      <c r="AO13" s="123">
        <f t="shared" si="6"/>
        <v>0</v>
      </c>
      <c r="AP13" s="119"/>
      <c r="AQ13" s="119"/>
      <c r="AR13" s="122">
        <f t="shared" si="20"/>
        <v>0</v>
      </c>
      <c r="AS13" s="119"/>
      <c r="AT13" s="123">
        <f t="shared" si="7"/>
        <v>0</v>
      </c>
      <c r="AU13" s="119"/>
      <c r="AV13" s="119"/>
      <c r="AW13" s="122">
        <f t="shared" si="21"/>
        <v>0</v>
      </c>
      <c r="AX13" s="128">
        <v>17525000</v>
      </c>
      <c r="AY13" s="123">
        <f t="shared" si="8"/>
        <v>0.37607296137339058</v>
      </c>
      <c r="AZ13" s="121">
        <v>1</v>
      </c>
      <c r="BA13" s="119">
        <v>20</v>
      </c>
      <c r="BB13" s="122">
        <f t="shared" si="22"/>
        <v>1</v>
      </c>
      <c r="BC13" s="129"/>
      <c r="BD13" s="123">
        <f t="shared" si="9"/>
        <v>0</v>
      </c>
      <c r="BE13" s="121">
        <v>1</v>
      </c>
      <c r="BF13" s="119">
        <v>20</v>
      </c>
      <c r="BG13" s="122">
        <f t="shared" si="23"/>
        <v>1</v>
      </c>
      <c r="BH13" s="125">
        <f>3000000+14575000</f>
        <v>17575000</v>
      </c>
      <c r="BI13" s="123">
        <f t="shared" si="10"/>
        <v>0.3771459227467811</v>
      </c>
      <c r="BJ13" s="121">
        <v>1</v>
      </c>
      <c r="BK13" s="119">
        <v>20</v>
      </c>
      <c r="BL13" s="122">
        <f t="shared" si="24"/>
        <v>1</v>
      </c>
      <c r="BM13" s="139">
        <f t="shared" si="26"/>
        <v>35100000</v>
      </c>
      <c r="BN13" s="140">
        <f t="shared" si="11"/>
        <v>0.75321888412017168</v>
      </c>
      <c r="BO13" s="141">
        <f t="shared" ref="BO13:BP13" si="32">BJ13</f>
        <v>1</v>
      </c>
      <c r="BP13" s="142">
        <f t="shared" si="32"/>
        <v>20</v>
      </c>
      <c r="BQ13" s="143">
        <f t="shared" si="25"/>
        <v>1</v>
      </c>
      <c r="BR13" s="146" t="s">
        <v>259</v>
      </c>
      <c r="BS13" s="147" t="s">
        <v>254</v>
      </c>
      <c r="BT13" s="51">
        <f t="shared" si="28"/>
        <v>-11500000</v>
      </c>
      <c r="BU13" s="136">
        <f t="shared" si="29"/>
        <v>35100000</v>
      </c>
    </row>
    <row r="14" spans="1:73" ht="43.5" customHeight="1" x14ac:dyDescent="0.25">
      <c r="A14" s="195" t="s">
        <v>260</v>
      </c>
      <c r="B14" s="196" t="s">
        <v>178</v>
      </c>
      <c r="C14" s="148">
        <f>C20+C21+C22+C23</f>
        <v>4167336152</v>
      </c>
      <c r="D14" s="149">
        <f>D22+D23+D20</f>
        <v>28382</v>
      </c>
      <c r="E14" s="150">
        <f>E20+E21+E22+E23</f>
        <v>0</v>
      </c>
      <c r="F14" s="95">
        <f t="shared" si="0"/>
        <v>0</v>
      </c>
      <c r="G14" s="151" t="e">
        <f>(G20+G22+G23+G21)/4</f>
        <v>#REF!</v>
      </c>
      <c r="H14" s="152" t="e">
        <f>H22+H23+H20</f>
        <v>#REF!</v>
      </c>
      <c r="I14" s="107" t="e">
        <f t="shared" si="12"/>
        <v>#REF!</v>
      </c>
      <c r="J14" s="148">
        <f>J20+J21+J22+J23</f>
        <v>521918463</v>
      </c>
      <c r="K14" s="95">
        <f t="shared" si="13"/>
        <v>0.12524030794816476</v>
      </c>
      <c r="L14" s="153" t="e">
        <f>(L20+L22+L23+L21)/4</f>
        <v>#REF!</v>
      </c>
      <c r="M14" s="149" t="e">
        <f>M22+M23+M20</f>
        <v>#REF!</v>
      </c>
      <c r="N14" s="107" t="e">
        <f t="shared" si="14"/>
        <v>#REF!</v>
      </c>
      <c r="O14" s="154">
        <f>O20+O21+O22+O23</f>
        <v>552594161</v>
      </c>
      <c r="P14" s="95">
        <f t="shared" si="1"/>
        <v>0.13260129273104052</v>
      </c>
      <c r="Q14" s="151" t="e">
        <f>(Q20+Q22+Q23+Q21)/4</f>
        <v>#REF!</v>
      </c>
      <c r="R14" s="152" t="e">
        <f>R22+R23+R20</f>
        <v>#REF!</v>
      </c>
      <c r="S14" s="107" t="e">
        <f t="shared" si="15"/>
        <v>#REF!</v>
      </c>
      <c r="T14" s="148">
        <f>T20+T21+T22+T23</f>
        <v>257975860</v>
      </c>
      <c r="U14" s="95">
        <f t="shared" si="2"/>
        <v>6.1904259841431671E-2</v>
      </c>
      <c r="V14" s="151" t="e">
        <f>(V20+V22+V23+V21)/4</f>
        <v>#REF!</v>
      </c>
      <c r="W14" s="152" t="e">
        <f>W22+W23+W20</f>
        <v>#REF!</v>
      </c>
      <c r="X14" s="107" t="e">
        <f t="shared" si="16"/>
        <v>#REF!</v>
      </c>
      <c r="Y14" s="150">
        <f>Y20+Y21+Y22+Y23</f>
        <v>305158049</v>
      </c>
      <c r="Z14" s="95">
        <f t="shared" si="3"/>
        <v>7.322616603739722E-2</v>
      </c>
      <c r="AA14" s="151" t="e">
        <f>(AA20+AA22+AA23+AA21)/4</f>
        <v>#REF!</v>
      </c>
      <c r="AB14" s="152" t="e">
        <f>AB22+AB23+AB20</f>
        <v>#REF!</v>
      </c>
      <c r="AC14" s="107" t="e">
        <f t="shared" si="17"/>
        <v>#REF!</v>
      </c>
      <c r="AD14" s="150">
        <f>AD20+AD21+AD22+AD23</f>
        <v>291623787</v>
      </c>
      <c r="AE14" s="95">
        <f t="shared" si="4"/>
        <v>6.9978464986570149E-2</v>
      </c>
      <c r="AF14" s="151" t="e">
        <f>(AF20+AF22+AF23+AF21)/4</f>
        <v>#REF!</v>
      </c>
      <c r="AG14" s="152" t="e">
        <f>AG22+AG23+AG20</f>
        <v>#REF!</v>
      </c>
      <c r="AH14" s="107" t="e">
        <f t="shared" si="18"/>
        <v>#REF!</v>
      </c>
      <c r="AI14" s="150">
        <f>AI20+AI21+AI22+AI23</f>
        <v>486576937</v>
      </c>
      <c r="AJ14" s="95">
        <f t="shared" si="5"/>
        <v>0.11675970434170053</v>
      </c>
      <c r="AK14" s="151" t="e">
        <f>(AK20+AK22+AK23+AK21)/4</f>
        <v>#REF!</v>
      </c>
      <c r="AL14" s="152" t="e">
        <f>AL22+AL23+AL20</f>
        <v>#REF!</v>
      </c>
      <c r="AM14" s="107" t="e">
        <f t="shared" si="19"/>
        <v>#REF!</v>
      </c>
      <c r="AN14" s="150">
        <f>AN20+AN21+AN22+AN23</f>
        <v>204085837</v>
      </c>
      <c r="AO14" s="95">
        <f t="shared" si="6"/>
        <v>4.8972732113787977E-2</v>
      </c>
      <c r="AP14" s="151" t="e">
        <f>(AP20+AP22+AP23+AP21)/4</f>
        <v>#REF!</v>
      </c>
      <c r="AQ14" s="152" t="e">
        <f>AQ22+AQ23+AQ20</f>
        <v>#REF!</v>
      </c>
      <c r="AR14" s="107" t="e">
        <f t="shared" si="20"/>
        <v>#REF!</v>
      </c>
      <c r="AS14" s="150">
        <f>AS20+AS21+AS22+AS23</f>
        <v>654030012</v>
      </c>
      <c r="AT14" s="95">
        <f t="shared" si="7"/>
        <v>0.15694198599412626</v>
      </c>
      <c r="AU14" s="151" t="e">
        <f>(AU20+AU22+AU23+AU21)/4</f>
        <v>#REF!</v>
      </c>
      <c r="AV14" s="152" t="e">
        <f>AV22+AV23+AV20</f>
        <v>#REF!</v>
      </c>
      <c r="AW14" s="107" t="e">
        <f t="shared" si="21"/>
        <v>#REF!</v>
      </c>
      <c r="AX14" s="148">
        <f>AX20+AX21+AX22+AX23</f>
        <v>505721912</v>
      </c>
      <c r="AY14" s="95">
        <f t="shared" si="8"/>
        <v>0.12135376018497872</v>
      </c>
      <c r="AZ14" s="151" t="e">
        <f>(AZ20+AZ22+AZ23+AZ21)/4</f>
        <v>#REF!</v>
      </c>
      <c r="BA14" s="152" t="e">
        <f>BA22+BA23+BA20</f>
        <v>#REF!</v>
      </c>
      <c r="BB14" s="107" t="e">
        <f t="shared" si="22"/>
        <v>#REF!</v>
      </c>
      <c r="BC14" s="154">
        <f>BC20+BC21+BC22+BC23</f>
        <v>209930237</v>
      </c>
      <c r="BD14" s="95">
        <f t="shared" si="9"/>
        <v>5.0375162776165695E-2</v>
      </c>
      <c r="BE14" s="151" t="e">
        <f>(BE20+BE22+BE23+BE21)/4</f>
        <v>#REF!</v>
      </c>
      <c r="BF14" s="152" t="e">
        <f>BF22+BF23+BF20</f>
        <v>#REF!</v>
      </c>
      <c r="BG14" s="107" t="e">
        <f t="shared" si="23"/>
        <v>#REF!</v>
      </c>
      <c r="BH14" s="154">
        <f>BH20+BH21+BH22+BH23</f>
        <v>122788137</v>
      </c>
      <c r="BI14" s="95">
        <f t="shared" si="10"/>
        <v>2.9464418640927529E-2</v>
      </c>
      <c r="BJ14" s="151" t="e">
        <f>(BJ20+BJ22+BJ23+BJ21)/4</f>
        <v>#REF!</v>
      </c>
      <c r="BK14" s="152" t="e">
        <f>BK22+BK23+BK20</f>
        <v>#REF!</v>
      </c>
      <c r="BL14" s="107" t="e">
        <f t="shared" si="24"/>
        <v>#REF!</v>
      </c>
      <c r="BM14" s="148">
        <f>BM20+BM21+BM22+BM23</f>
        <v>4112403392</v>
      </c>
      <c r="BN14" s="99">
        <f t="shared" si="11"/>
        <v>0.98681825559629099</v>
      </c>
      <c r="BO14" s="153" t="e">
        <f>(BO20+BO22+BO23+BO21)/4</f>
        <v>#REF!</v>
      </c>
      <c r="BP14" s="149" t="e">
        <f>BP22+BP23+BP20</f>
        <v>#REF!</v>
      </c>
      <c r="BQ14" s="107" t="e">
        <f t="shared" si="25"/>
        <v>#REF!</v>
      </c>
      <c r="BR14" s="205">
        <f>BM14+BM15</f>
        <v>6663282857</v>
      </c>
      <c r="BS14" s="203"/>
      <c r="BT14" s="206">
        <f>SUM(BT16:BT23)</f>
        <v>-353522841</v>
      </c>
      <c r="BU14" s="136">
        <f>SUM(BU10:BU13)</f>
        <v>15138054179</v>
      </c>
    </row>
    <row r="15" spans="1:73" ht="51.75" customHeight="1" x14ac:dyDescent="0.25">
      <c r="A15" s="176"/>
      <c r="B15" s="176"/>
      <c r="C15" s="148">
        <f>C16+C17+C18+C19</f>
        <v>2849469546</v>
      </c>
      <c r="D15" s="93">
        <f>D17+D19</f>
        <v>1081</v>
      </c>
      <c r="E15" s="150">
        <f>E16+E17+E18+E19</f>
        <v>0</v>
      </c>
      <c r="F15" s="95">
        <f t="shared" si="0"/>
        <v>0</v>
      </c>
      <c r="G15" s="155">
        <f>(G17+G19+G18)/3</f>
        <v>0</v>
      </c>
      <c r="H15" s="156">
        <f>H17+H19</f>
        <v>0</v>
      </c>
      <c r="I15" s="107">
        <f t="shared" si="12"/>
        <v>0</v>
      </c>
      <c r="J15" s="148">
        <f>J16+J17+J18+J19</f>
        <v>49728000</v>
      </c>
      <c r="K15" s="95">
        <f t="shared" si="13"/>
        <v>1.7451669230789526E-2</v>
      </c>
      <c r="L15" s="157">
        <f>(L17+L19+L18)/3</f>
        <v>0</v>
      </c>
      <c r="M15" s="93">
        <f>M17+M19</f>
        <v>0</v>
      </c>
      <c r="N15" s="107">
        <f t="shared" si="14"/>
        <v>0</v>
      </c>
      <c r="O15" s="154">
        <f>O16+O17+O18+O19</f>
        <v>68154000</v>
      </c>
      <c r="P15" s="95">
        <f t="shared" si="1"/>
        <v>2.3918135954698144E-2</v>
      </c>
      <c r="Q15" s="155">
        <f>(Q17+Q19+Q18)/3</f>
        <v>0</v>
      </c>
      <c r="R15" s="156">
        <f>R17+R19</f>
        <v>0</v>
      </c>
      <c r="S15" s="107">
        <f t="shared" si="15"/>
        <v>0</v>
      </c>
      <c r="T15" s="148">
        <f>T16+T17+T18+T19</f>
        <v>142201500</v>
      </c>
      <c r="U15" s="95">
        <f t="shared" si="2"/>
        <v>4.9904551603163545E-2</v>
      </c>
      <c r="V15" s="155">
        <f>(V17+V19+V18)/3</f>
        <v>0</v>
      </c>
      <c r="W15" s="156">
        <f>W17+W19</f>
        <v>0</v>
      </c>
      <c r="X15" s="107">
        <f t="shared" si="16"/>
        <v>0</v>
      </c>
      <c r="Y15" s="150">
        <f>Y16+Y17+Y18+Y19</f>
        <v>0</v>
      </c>
      <c r="Z15" s="95">
        <f t="shared" si="3"/>
        <v>0</v>
      </c>
      <c r="AA15" s="155">
        <f>(AA17+AA19+AA18)/3</f>
        <v>0</v>
      </c>
      <c r="AB15" s="156">
        <f>AB17+AB19</f>
        <v>0</v>
      </c>
      <c r="AC15" s="107">
        <f t="shared" si="17"/>
        <v>0</v>
      </c>
      <c r="AD15" s="150">
        <f>AD16+AD17+AD18+AD19</f>
        <v>0</v>
      </c>
      <c r="AE15" s="95">
        <f t="shared" si="4"/>
        <v>0</v>
      </c>
      <c r="AF15" s="155">
        <f>(AF17+AF19+AF18)/3</f>
        <v>0</v>
      </c>
      <c r="AG15" s="156">
        <f>AG17+AG19</f>
        <v>0</v>
      </c>
      <c r="AH15" s="107">
        <f t="shared" si="18"/>
        <v>0</v>
      </c>
      <c r="AI15" s="150">
        <f>AI16+AI17+AI18+AI19</f>
        <v>198491350</v>
      </c>
      <c r="AJ15" s="95">
        <f t="shared" si="5"/>
        <v>6.9659052955535608E-2</v>
      </c>
      <c r="AK15" s="155">
        <f>(AK17+AK19+AK18)/3</f>
        <v>0.15590000000000001</v>
      </c>
      <c r="AL15" s="156">
        <f>AL17+AL19</f>
        <v>0</v>
      </c>
      <c r="AM15" s="107">
        <f t="shared" si="19"/>
        <v>0</v>
      </c>
      <c r="AN15" s="150">
        <f>AN16+AN17+AN18+AN19</f>
        <v>99579150</v>
      </c>
      <c r="AO15" s="95">
        <f t="shared" si="6"/>
        <v>3.4946557031917125E-2</v>
      </c>
      <c r="AP15" s="155">
        <f>(AP17+AP19+AP18)/3</f>
        <v>0.26916666666666667</v>
      </c>
      <c r="AQ15" s="156">
        <f>AQ17+AQ19</f>
        <v>165</v>
      </c>
      <c r="AR15" s="107">
        <f t="shared" si="20"/>
        <v>0.15263644773358001</v>
      </c>
      <c r="AS15" s="150">
        <f>AS16+AS17+AS18+AS19</f>
        <v>302676805</v>
      </c>
      <c r="AT15" s="95">
        <f t="shared" si="7"/>
        <v>0.10622215823464007</v>
      </c>
      <c r="AU15" s="155">
        <f>(AU17+AU19+AU18)/3</f>
        <v>0.42026666666666673</v>
      </c>
      <c r="AV15" s="156">
        <f>AV17+AV19</f>
        <v>165</v>
      </c>
      <c r="AW15" s="107">
        <f t="shared" si="21"/>
        <v>0.15263644773358001</v>
      </c>
      <c r="AX15" s="148">
        <f>AX16+AX17+AX18+AX19</f>
        <v>121608100</v>
      </c>
      <c r="AY15" s="95">
        <f t="shared" si="8"/>
        <v>4.2677452079005307E-2</v>
      </c>
      <c r="AZ15" s="155">
        <f>(AZ17+AZ19+AZ18)/3</f>
        <v>0.54466666666666663</v>
      </c>
      <c r="BA15" s="156">
        <f>BA17+BA19</f>
        <v>384</v>
      </c>
      <c r="BB15" s="107">
        <f t="shared" si="22"/>
        <v>0.35522664199814985</v>
      </c>
      <c r="BC15" s="154">
        <f>BC16+BC17+BC18+BC19</f>
        <v>526769042</v>
      </c>
      <c r="BD15" s="95">
        <f t="shared" si="9"/>
        <v>0.18486565078032247</v>
      </c>
      <c r="BE15" s="155">
        <f>(BE17+BE19+BE18)/3</f>
        <v>0.80010474286666666</v>
      </c>
      <c r="BF15" s="156">
        <f>BF17+BF19</f>
        <v>384</v>
      </c>
      <c r="BG15" s="107">
        <f t="shared" si="23"/>
        <v>0.35522664199814985</v>
      </c>
      <c r="BH15" s="154">
        <f>BH16+BH17+BH18+BH19</f>
        <v>1041671518</v>
      </c>
      <c r="BI15" s="95">
        <f t="shared" si="10"/>
        <v>0.36556681908121014</v>
      </c>
      <c r="BJ15" s="155">
        <f>(BJ17+BJ19+BJ18)/3</f>
        <v>0.9355066666666666</v>
      </c>
      <c r="BK15" s="156">
        <f>BK17+BK19</f>
        <v>847.65</v>
      </c>
      <c r="BL15" s="107">
        <f t="shared" si="24"/>
        <v>0.78413506012950973</v>
      </c>
      <c r="BM15" s="148">
        <f>BM16+BM17+BM18+BM19</f>
        <v>2550879465</v>
      </c>
      <c r="BN15" s="99">
        <f t="shared" si="11"/>
        <v>0.89521204695128198</v>
      </c>
      <c r="BO15" s="157">
        <f>(BO17+BO19+BO18)/3</f>
        <v>0.9355066666666666</v>
      </c>
      <c r="BP15" s="93">
        <f>BP17+BP19</f>
        <v>847.65</v>
      </c>
      <c r="BQ15" s="107">
        <f t="shared" si="25"/>
        <v>0.78413506012950973</v>
      </c>
      <c r="BR15" s="180"/>
      <c r="BS15" s="180"/>
      <c r="BT15" s="182"/>
    </row>
    <row r="16" spans="1:73" ht="76.5" x14ac:dyDescent="0.2">
      <c r="A16" s="90" t="s">
        <v>26</v>
      </c>
      <c r="B16" s="116" t="s">
        <v>261</v>
      </c>
      <c r="C16" s="71">
        <v>658150000</v>
      </c>
      <c r="D16" s="158">
        <v>8</v>
      </c>
      <c r="E16" s="119"/>
      <c r="F16" s="120">
        <f t="shared" si="0"/>
        <v>0</v>
      </c>
      <c r="G16" s="121" t="e">
        <f>'PROGRESS FISIK'!#REF!</f>
        <v>#REF!</v>
      </c>
      <c r="H16" s="119" t="e">
        <f>'PROGRESS FISIK'!#REF!</f>
        <v>#REF!</v>
      </c>
      <c r="I16" s="122" t="e">
        <f t="shared" si="12"/>
        <v>#REF!</v>
      </c>
      <c r="J16" s="125">
        <v>49728000</v>
      </c>
      <c r="K16" s="123">
        <f t="shared" si="13"/>
        <v>7.5557243789409714E-2</v>
      </c>
      <c r="L16" s="124" t="e">
        <f>'PROGRESS FISIK'!#REF!</f>
        <v>#REF!</v>
      </c>
      <c r="M16" s="24" t="e">
        <f>'PROGRESS FISIK'!#REF!</f>
        <v>#REF!</v>
      </c>
      <c r="N16" s="122" t="e">
        <f t="shared" si="14"/>
        <v>#REF!</v>
      </c>
      <c r="O16" s="125">
        <f>48840000</f>
        <v>48840000</v>
      </c>
      <c r="P16" s="123">
        <f t="shared" si="1"/>
        <v>7.4208007293170244E-2</v>
      </c>
      <c r="Q16" s="121" t="e">
        <f>'PROGRESS FISIK'!#REF!</f>
        <v>#REF!</v>
      </c>
      <c r="R16" s="119" t="e">
        <f>'PROGRESS FISIK'!#REF!</f>
        <v>#REF!</v>
      </c>
      <c r="S16" s="122" t="e">
        <f t="shared" si="15"/>
        <v>#REF!</v>
      </c>
      <c r="T16" s="51">
        <v>100318500</v>
      </c>
      <c r="U16" s="123">
        <f t="shared" si="2"/>
        <v>0.15242497910810607</v>
      </c>
      <c r="V16" s="121" t="e">
        <f>'PROGRESS FISIK'!#REF!</f>
        <v>#REF!</v>
      </c>
      <c r="W16" s="119" t="e">
        <f>'PROGRESS FISIK'!#REF!</f>
        <v>#REF!</v>
      </c>
      <c r="X16" s="122" t="e">
        <f t="shared" si="16"/>
        <v>#REF!</v>
      </c>
      <c r="Y16" s="119"/>
      <c r="Z16" s="123">
        <f t="shared" si="3"/>
        <v>0</v>
      </c>
      <c r="AA16" s="121" t="e">
        <f>'PROGRESS FISIK'!#REF!</f>
        <v>#REF!</v>
      </c>
      <c r="AB16" s="119" t="e">
        <f>'PROGRESS FISIK'!#REF!</f>
        <v>#REF!</v>
      </c>
      <c r="AC16" s="122" t="e">
        <f t="shared" si="17"/>
        <v>#REF!</v>
      </c>
      <c r="AD16" s="119"/>
      <c r="AE16" s="123">
        <f t="shared" si="4"/>
        <v>0</v>
      </c>
      <c r="AF16" s="121" t="e">
        <f>'PROGRESS FISIK'!#REF!</f>
        <v>#REF!</v>
      </c>
      <c r="AG16" s="119" t="e">
        <f>'PROGRESS FISIK'!#REF!</f>
        <v>#REF!</v>
      </c>
      <c r="AH16" s="122" t="e">
        <f t="shared" si="18"/>
        <v>#REF!</v>
      </c>
      <c r="AI16" s="119"/>
      <c r="AJ16" s="123">
        <f t="shared" si="5"/>
        <v>0</v>
      </c>
      <c r="AK16" s="121" t="e">
        <f>'PROGRESS FISIK'!#REF!</f>
        <v>#REF!</v>
      </c>
      <c r="AL16" s="119" t="e">
        <f>'PROGRESS FISIK'!#REF!</f>
        <v>#REF!</v>
      </c>
      <c r="AM16" s="122" t="e">
        <f t="shared" si="19"/>
        <v>#REF!</v>
      </c>
      <c r="AN16" s="119"/>
      <c r="AO16" s="123">
        <f t="shared" si="6"/>
        <v>0</v>
      </c>
      <c r="AP16" s="121" t="e">
        <f>'PROGRESS FISIK'!#REF!</f>
        <v>#REF!</v>
      </c>
      <c r="AQ16" s="119" t="e">
        <f>'PROGRESS FISIK'!#REF!</f>
        <v>#REF!</v>
      </c>
      <c r="AR16" s="122" t="e">
        <f t="shared" si="20"/>
        <v>#REF!</v>
      </c>
      <c r="AS16" s="119"/>
      <c r="AT16" s="123">
        <f t="shared" si="7"/>
        <v>0</v>
      </c>
      <c r="AU16" s="121" t="e">
        <f>'PROGRESS FISIK'!#REF!</f>
        <v>#REF!</v>
      </c>
      <c r="AV16" s="119" t="e">
        <f>'PROGRESS FISIK'!#REF!</f>
        <v>#REF!</v>
      </c>
      <c r="AW16" s="122" t="e">
        <f t="shared" si="21"/>
        <v>#REF!</v>
      </c>
      <c r="AX16" s="28"/>
      <c r="AY16" s="123">
        <f t="shared" si="8"/>
        <v>0</v>
      </c>
      <c r="AZ16" s="121" t="e">
        <f>'PROGRESS FISIK'!#REF!</f>
        <v>#REF!</v>
      </c>
      <c r="BA16" s="119" t="e">
        <f>'PROGRESS FISIK'!#REF!</f>
        <v>#REF!</v>
      </c>
      <c r="BB16" s="122" t="e">
        <f t="shared" si="22"/>
        <v>#REF!</v>
      </c>
      <c r="BC16" s="129">
        <f>99067500+74314500+74003700+74037000+32651442</f>
        <v>354074142</v>
      </c>
      <c r="BD16" s="123">
        <f t="shared" si="9"/>
        <v>0.53798395806427102</v>
      </c>
      <c r="BE16" s="121" t="e">
        <f>'PROGRESS FISIK'!#REF!</f>
        <v>#REF!</v>
      </c>
      <c r="BF16" s="119" t="e">
        <f>'PROGRESS FISIK'!#REF!</f>
        <v>#REF!</v>
      </c>
      <c r="BG16" s="122" t="e">
        <f t="shared" si="23"/>
        <v>#REF!</v>
      </c>
      <c r="BH16" s="125">
        <f>17344120+500000+1900000+2750000+750000+74092500</f>
        <v>97336620</v>
      </c>
      <c r="BI16" s="123">
        <f t="shared" si="10"/>
        <v>0.14789427941958519</v>
      </c>
      <c r="BJ16" s="121" t="e">
        <f>'PROGRESS FISIK'!#REF!</f>
        <v>#REF!</v>
      </c>
      <c r="BK16" s="119" t="e">
        <f>'PROGRESS FISIK'!#REF!</f>
        <v>#REF!</v>
      </c>
      <c r="BL16" s="122" t="e">
        <f t="shared" si="24"/>
        <v>#REF!</v>
      </c>
      <c r="BM16" s="139">
        <f t="shared" ref="BM16:BM23" si="33">E16+J16+O16+T16+Y16+AD16+AI16+AN16+AS16+AX16+BC16+BH16</f>
        <v>650297262</v>
      </c>
      <c r="BN16" s="140">
        <f t="shared" si="11"/>
        <v>0.98806846767454226</v>
      </c>
      <c r="BO16" s="141" t="e">
        <f t="shared" ref="BO16:BP16" si="34">BJ16</f>
        <v>#REF!</v>
      </c>
      <c r="BP16" s="142" t="e">
        <f t="shared" si="34"/>
        <v>#REF!</v>
      </c>
      <c r="BQ16" s="143" t="e">
        <f t="shared" si="25"/>
        <v>#REF!</v>
      </c>
      <c r="BR16" s="26" t="s">
        <v>262</v>
      </c>
      <c r="BS16" s="159" t="s">
        <v>254</v>
      </c>
      <c r="BT16" s="51">
        <f t="shared" ref="BT16:BT23" si="35">BM16-C16</f>
        <v>-7852738</v>
      </c>
      <c r="BU16" s="144">
        <f t="shared" ref="BU16:BU23" si="36">AX16+BC16+BH16</f>
        <v>451410762</v>
      </c>
    </row>
    <row r="17" spans="1:73" ht="162.75" customHeight="1" x14ac:dyDescent="0.2">
      <c r="A17" s="90" t="s">
        <v>95</v>
      </c>
      <c r="B17" s="116" t="s">
        <v>179</v>
      </c>
      <c r="C17" s="71">
        <v>1713867347</v>
      </c>
      <c r="D17" s="158">
        <v>924</v>
      </c>
      <c r="E17" s="119"/>
      <c r="F17" s="120">
        <f t="shared" si="0"/>
        <v>0</v>
      </c>
      <c r="G17" s="121">
        <f>'PROGRESS FISIK'!C98</f>
        <v>0</v>
      </c>
      <c r="H17" s="119">
        <f>'PROGRESS FISIK'!D98</f>
        <v>0</v>
      </c>
      <c r="I17" s="122">
        <f t="shared" si="12"/>
        <v>0</v>
      </c>
      <c r="J17" s="28"/>
      <c r="K17" s="123">
        <f t="shared" si="13"/>
        <v>0</v>
      </c>
      <c r="L17" s="124">
        <f>'PROGRESS FISIK'!E98</f>
        <v>0</v>
      </c>
      <c r="M17" s="24">
        <f>'PROGRESS FISIK'!F98</f>
        <v>0</v>
      </c>
      <c r="N17" s="122">
        <f t="shared" si="14"/>
        <v>0</v>
      </c>
      <c r="O17" s="125"/>
      <c r="P17" s="123">
        <f t="shared" si="1"/>
        <v>0</v>
      </c>
      <c r="Q17" s="121">
        <f>'PROGRESS FISIK'!G98</f>
        <v>0</v>
      </c>
      <c r="R17" s="119">
        <f>'PROGRESS FISIK'!H98</f>
        <v>0</v>
      </c>
      <c r="S17" s="122">
        <f t="shared" si="15"/>
        <v>0</v>
      </c>
      <c r="T17" s="51">
        <v>20436000</v>
      </c>
      <c r="U17" s="123">
        <f t="shared" si="2"/>
        <v>1.192391000141973E-2</v>
      </c>
      <c r="V17" s="121">
        <f>'PROGRESS FISIK'!I98</f>
        <v>0</v>
      </c>
      <c r="W17" s="119">
        <f>'PROGRESS FISIK'!J98</f>
        <v>0</v>
      </c>
      <c r="X17" s="122">
        <f t="shared" si="16"/>
        <v>0</v>
      </c>
      <c r="Y17" s="119"/>
      <c r="Z17" s="123">
        <f t="shared" si="3"/>
        <v>0</v>
      </c>
      <c r="AA17" s="121">
        <f>'PROGRESS FISIK'!K98</f>
        <v>0</v>
      </c>
      <c r="AB17" s="119">
        <f>'PROGRESS FISIK'!L98</f>
        <v>0</v>
      </c>
      <c r="AC17" s="122">
        <f t="shared" si="17"/>
        <v>0</v>
      </c>
      <c r="AD17" s="119"/>
      <c r="AE17" s="123">
        <f t="shared" si="4"/>
        <v>0</v>
      </c>
      <c r="AF17" s="121">
        <f>'PROGRESS FISIK'!M98</f>
        <v>0</v>
      </c>
      <c r="AG17" s="119">
        <f>'PROGRESS FISIK'!N98</f>
        <v>0</v>
      </c>
      <c r="AH17" s="122">
        <f t="shared" si="18"/>
        <v>0</v>
      </c>
      <c r="AI17" s="137">
        <v>98996200</v>
      </c>
      <c r="AJ17" s="123">
        <f t="shared" si="5"/>
        <v>5.7761879980551378E-2</v>
      </c>
      <c r="AK17" s="121">
        <f>'PROGRESS FISIK'!O98</f>
        <v>0.35499999999999998</v>
      </c>
      <c r="AL17" s="119">
        <f>'PROGRESS FISIK'!P98</f>
        <v>0</v>
      </c>
      <c r="AM17" s="122">
        <f t="shared" si="19"/>
        <v>0</v>
      </c>
      <c r="AN17" s="119"/>
      <c r="AO17" s="123">
        <f t="shared" si="6"/>
        <v>0</v>
      </c>
      <c r="AP17" s="121">
        <f>'PROGRESS FISIK'!Q98</f>
        <v>0.5</v>
      </c>
      <c r="AQ17" s="119">
        <f>'PROGRESS FISIK'!R98</f>
        <v>165</v>
      </c>
      <c r="AR17" s="122">
        <f t="shared" si="20"/>
        <v>0.17857142857142858</v>
      </c>
      <c r="AS17" s="137">
        <f>98996200+203680605</f>
        <v>302676805</v>
      </c>
      <c r="AT17" s="123">
        <f t="shared" si="7"/>
        <v>0.17660456950172584</v>
      </c>
      <c r="AU17" s="121">
        <f>'PROGRESS FISIK'!S98</f>
        <v>0.5</v>
      </c>
      <c r="AV17" s="119">
        <f>'PROGRESS FISIK'!T98</f>
        <v>165</v>
      </c>
      <c r="AW17" s="122">
        <f t="shared" si="21"/>
        <v>0.17857142857142858</v>
      </c>
      <c r="AX17" s="28">
        <f>14812950+1300000+2150000</f>
        <v>18262950</v>
      </c>
      <c r="AY17" s="123">
        <f t="shared" si="8"/>
        <v>1.0655988068136057E-2</v>
      </c>
      <c r="AZ17" s="121">
        <f>'PROGRESS FISIK'!U98</f>
        <v>0.214</v>
      </c>
      <c r="BA17" s="119">
        <f>'PROGRESS FISIK'!V98</f>
        <v>165</v>
      </c>
      <c r="BB17" s="122">
        <f t="shared" si="22"/>
        <v>0.17857142857142858</v>
      </c>
      <c r="BC17" s="129">
        <f>19647000+39405000+98990900</f>
        <v>158042900</v>
      </c>
      <c r="BD17" s="123">
        <f t="shared" si="9"/>
        <v>9.22141963184272E-2</v>
      </c>
      <c r="BE17" s="121">
        <f>'PROGRESS FISIK'!W98</f>
        <v>0.46831422859999994</v>
      </c>
      <c r="BF17" s="119">
        <f>'PROGRESS FISIK'!X98</f>
        <v>165</v>
      </c>
      <c r="BG17" s="122">
        <f t="shared" si="23"/>
        <v>0.17857142857142858</v>
      </c>
      <c r="BH17" s="125">
        <f>2950000+1800000+99124900+3100000+5250000+2400000+14859000+49450500+475254745+98990900+75765353+12655650</f>
        <v>841601048</v>
      </c>
      <c r="BI17" s="123">
        <f t="shared" si="10"/>
        <v>0.49105378515622072</v>
      </c>
      <c r="BJ17" s="121">
        <f>'PROGRESS FISIK'!Y98</f>
        <v>0.80652000000000001</v>
      </c>
      <c r="BK17" s="119">
        <f>'PROGRESS FISIK'!Z98</f>
        <v>628.65</v>
      </c>
      <c r="BL17" s="122">
        <f t="shared" si="24"/>
        <v>0.68035714285714288</v>
      </c>
      <c r="BM17" s="130">
        <f t="shared" si="33"/>
        <v>1440015903</v>
      </c>
      <c r="BN17" s="131">
        <f t="shared" si="11"/>
        <v>0.84021432902648097</v>
      </c>
      <c r="BO17" s="132">
        <f t="shared" ref="BO17:BP17" si="37">BJ17</f>
        <v>0.80652000000000001</v>
      </c>
      <c r="BP17" s="133">
        <f t="shared" si="37"/>
        <v>628.65</v>
      </c>
      <c r="BQ17" s="134">
        <f t="shared" si="25"/>
        <v>0.68035714285714288</v>
      </c>
      <c r="BR17" s="26" t="s">
        <v>263</v>
      </c>
      <c r="BS17" s="26" t="s">
        <v>256</v>
      </c>
      <c r="BT17" s="51">
        <f t="shared" si="35"/>
        <v>-273851444</v>
      </c>
      <c r="BU17" s="144">
        <f t="shared" si="36"/>
        <v>1017906898</v>
      </c>
    </row>
    <row r="18" spans="1:73" ht="95.25" customHeight="1" x14ac:dyDescent="0.2">
      <c r="A18" s="90" t="s">
        <v>169</v>
      </c>
      <c r="B18" s="116" t="s">
        <v>264</v>
      </c>
      <c r="C18" s="71">
        <v>238850000</v>
      </c>
      <c r="D18" s="158">
        <v>1</v>
      </c>
      <c r="E18" s="119"/>
      <c r="F18" s="120">
        <f t="shared" si="0"/>
        <v>0</v>
      </c>
      <c r="G18" s="121">
        <f>'PROGRESS FISIK'!C101</f>
        <v>0</v>
      </c>
      <c r="H18" s="119">
        <f>'PROGRESS FISIK'!D101</f>
        <v>0</v>
      </c>
      <c r="I18" s="122">
        <f t="shared" si="12"/>
        <v>0</v>
      </c>
      <c r="J18" s="28"/>
      <c r="K18" s="123">
        <f t="shared" si="13"/>
        <v>0</v>
      </c>
      <c r="L18" s="124">
        <f>'PROGRESS FISIK'!E101</f>
        <v>0</v>
      </c>
      <c r="M18" s="24">
        <f>'PROGRESS FISIK'!F101</f>
        <v>0</v>
      </c>
      <c r="N18" s="122">
        <f t="shared" si="14"/>
        <v>0</v>
      </c>
      <c r="O18" s="125"/>
      <c r="P18" s="123">
        <f t="shared" si="1"/>
        <v>0</v>
      </c>
      <c r="Q18" s="121">
        <f>'PROGRESS FISIK'!G101</f>
        <v>0</v>
      </c>
      <c r="R18" s="119">
        <f>'PROGRESS FISIK'!H101</f>
        <v>0</v>
      </c>
      <c r="S18" s="122">
        <f t="shared" si="15"/>
        <v>0</v>
      </c>
      <c r="T18" s="51">
        <v>20547000</v>
      </c>
      <c r="U18" s="123">
        <f t="shared" si="2"/>
        <v>8.6024701695624872E-2</v>
      </c>
      <c r="V18" s="121">
        <f>'PROGRESS FISIK'!I101</f>
        <v>0</v>
      </c>
      <c r="W18" s="119">
        <f>'PROGRESS FISIK'!J101</f>
        <v>0</v>
      </c>
      <c r="X18" s="122">
        <f t="shared" si="16"/>
        <v>0</v>
      </c>
      <c r="Y18" s="119"/>
      <c r="Z18" s="123">
        <f t="shared" si="3"/>
        <v>0</v>
      </c>
      <c r="AA18" s="121">
        <f>'PROGRESS FISIK'!K101</f>
        <v>0</v>
      </c>
      <c r="AB18" s="119">
        <f>'PROGRESS FISIK'!L101</f>
        <v>0</v>
      </c>
      <c r="AC18" s="122">
        <f t="shared" si="17"/>
        <v>0</v>
      </c>
      <c r="AD18" s="119"/>
      <c r="AE18" s="123">
        <f t="shared" si="4"/>
        <v>0</v>
      </c>
      <c r="AF18" s="121">
        <f>'PROGRESS FISIK'!M101</f>
        <v>0</v>
      </c>
      <c r="AG18" s="119">
        <f>'PROGRESS FISIK'!N101</f>
        <v>0</v>
      </c>
      <c r="AH18" s="122">
        <f t="shared" si="18"/>
        <v>0</v>
      </c>
      <c r="AI18" s="119"/>
      <c r="AJ18" s="123">
        <f t="shared" si="5"/>
        <v>0</v>
      </c>
      <c r="AK18" s="121">
        <f>'PROGRESS FISIK'!O101</f>
        <v>0</v>
      </c>
      <c r="AL18" s="119">
        <f>'PROGRESS FISIK'!P101</f>
        <v>0</v>
      </c>
      <c r="AM18" s="122">
        <f t="shared" si="19"/>
        <v>0</v>
      </c>
      <c r="AN18" s="119">
        <v>99579150</v>
      </c>
      <c r="AO18" s="123">
        <f t="shared" si="6"/>
        <v>0.41691082269206614</v>
      </c>
      <c r="AP18" s="121">
        <f>'PROGRESS FISIK'!Q101</f>
        <v>7.4999999999999997E-3</v>
      </c>
      <c r="AQ18" s="119">
        <f>'PROGRESS FISIK'!R101</f>
        <v>0</v>
      </c>
      <c r="AR18" s="122">
        <f t="shared" si="20"/>
        <v>0</v>
      </c>
      <c r="AS18" s="119"/>
      <c r="AT18" s="123">
        <f t="shared" si="7"/>
        <v>0</v>
      </c>
      <c r="AU18" s="121">
        <f>'PROGRESS FISIK'!S101</f>
        <v>0.13</v>
      </c>
      <c r="AV18" s="119">
        <f>'PROGRESS FISIK'!T101</f>
        <v>0</v>
      </c>
      <c r="AW18" s="122">
        <f t="shared" si="21"/>
        <v>0</v>
      </c>
      <c r="AX18" s="28">
        <v>900000</v>
      </c>
      <c r="AY18" s="123">
        <f t="shared" si="8"/>
        <v>3.7680552648105504E-3</v>
      </c>
      <c r="AZ18" s="121">
        <f>'PROGRESS FISIK'!U101</f>
        <v>0.42</v>
      </c>
      <c r="BA18" s="119">
        <f>'PROGRESS FISIK'!V101</f>
        <v>0</v>
      </c>
      <c r="BB18" s="122">
        <f t="shared" si="22"/>
        <v>0</v>
      </c>
      <c r="BC18" s="129"/>
      <c r="BD18" s="123">
        <f t="shared" si="9"/>
        <v>0</v>
      </c>
      <c r="BE18" s="121">
        <f>'PROGRESS FISIK'!W101</f>
        <v>0.93200000000000005</v>
      </c>
      <c r="BF18" s="119">
        <f>'PROGRESS FISIK'!X101</f>
        <v>0</v>
      </c>
      <c r="BG18" s="122">
        <f t="shared" si="23"/>
        <v>0</v>
      </c>
      <c r="BH18" s="125">
        <f>1250000+800000+14652000+86031850</f>
        <v>102733850</v>
      </c>
      <c r="BI18" s="123">
        <f t="shared" si="10"/>
        <v>0.43011869374084155</v>
      </c>
      <c r="BJ18" s="121">
        <f>'PROGRESS FISIK'!Y101</f>
        <v>1</v>
      </c>
      <c r="BK18" s="119">
        <f>'PROGRESS FISIK'!Z101</f>
        <v>1</v>
      </c>
      <c r="BL18" s="122">
        <f t="shared" si="24"/>
        <v>1</v>
      </c>
      <c r="BM18" s="139">
        <f t="shared" si="33"/>
        <v>223760000</v>
      </c>
      <c r="BN18" s="140">
        <f t="shared" si="11"/>
        <v>0.93682227339334312</v>
      </c>
      <c r="BO18" s="141">
        <f t="shared" ref="BO18:BP18" si="38">BJ18</f>
        <v>1</v>
      </c>
      <c r="BP18" s="142">
        <f t="shared" si="38"/>
        <v>1</v>
      </c>
      <c r="BQ18" s="143">
        <f t="shared" si="25"/>
        <v>1</v>
      </c>
      <c r="BR18" s="26" t="s">
        <v>265</v>
      </c>
      <c r="BS18" s="159" t="s">
        <v>254</v>
      </c>
      <c r="BT18" s="51">
        <f t="shared" si="35"/>
        <v>-15090000</v>
      </c>
      <c r="BU18" s="144">
        <f t="shared" si="36"/>
        <v>103633850</v>
      </c>
    </row>
    <row r="19" spans="1:73" ht="51" x14ac:dyDescent="0.2">
      <c r="A19" s="90" t="s">
        <v>198</v>
      </c>
      <c r="B19" s="116" t="s">
        <v>194</v>
      </c>
      <c r="C19" s="71">
        <v>238602199</v>
      </c>
      <c r="D19" s="158">
        <v>157</v>
      </c>
      <c r="E19" s="119"/>
      <c r="F19" s="120">
        <f t="shared" si="0"/>
        <v>0</v>
      </c>
      <c r="G19" s="121">
        <f>'PROGRESS FISIK'!C104</f>
        <v>0</v>
      </c>
      <c r="H19" s="119">
        <f>'PROGRESS FISIK'!D104</f>
        <v>0</v>
      </c>
      <c r="I19" s="122">
        <f t="shared" si="12"/>
        <v>0</v>
      </c>
      <c r="J19" s="28"/>
      <c r="K19" s="123">
        <f t="shared" si="13"/>
        <v>0</v>
      </c>
      <c r="L19" s="124">
        <f>'PROGRESS FISIK'!E104</f>
        <v>0</v>
      </c>
      <c r="M19" s="24">
        <f>'PROGRESS FISIK'!F104</f>
        <v>0</v>
      </c>
      <c r="N19" s="122">
        <f t="shared" si="14"/>
        <v>0</v>
      </c>
      <c r="O19" s="125">
        <v>19314000</v>
      </c>
      <c r="P19" s="123">
        <f t="shared" si="1"/>
        <v>8.0946445929444263E-2</v>
      </c>
      <c r="Q19" s="121">
        <f>'PROGRESS FISIK'!G104</f>
        <v>0</v>
      </c>
      <c r="R19" s="119">
        <f>'PROGRESS FISIK'!H104</f>
        <v>0</v>
      </c>
      <c r="S19" s="122">
        <f t="shared" si="15"/>
        <v>0</v>
      </c>
      <c r="T19" s="51">
        <v>900000</v>
      </c>
      <c r="U19" s="123">
        <f t="shared" si="2"/>
        <v>3.7719685894428826E-3</v>
      </c>
      <c r="V19" s="121">
        <f>'PROGRESS FISIK'!I104</f>
        <v>0</v>
      </c>
      <c r="W19" s="119">
        <f>'PROGRESS FISIK'!J104</f>
        <v>0</v>
      </c>
      <c r="X19" s="122">
        <f t="shared" si="16"/>
        <v>0</v>
      </c>
      <c r="Y19" s="119"/>
      <c r="Z19" s="123">
        <f t="shared" si="3"/>
        <v>0</v>
      </c>
      <c r="AA19" s="121">
        <f>'PROGRESS FISIK'!K104</f>
        <v>0</v>
      </c>
      <c r="AB19" s="119">
        <f>'PROGRESS FISIK'!L104</f>
        <v>0</v>
      </c>
      <c r="AC19" s="122">
        <f t="shared" si="17"/>
        <v>0</v>
      </c>
      <c r="AD19" s="119"/>
      <c r="AE19" s="123">
        <f t="shared" si="4"/>
        <v>0</v>
      </c>
      <c r="AF19" s="121">
        <f>'PROGRESS FISIK'!M104</f>
        <v>0</v>
      </c>
      <c r="AG19" s="119">
        <f>'PROGRESS FISIK'!N104</f>
        <v>0</v>
      </c>
      <c r="AH19" s="122">
        <f t="shared" si="18"/>
        <v>0</v>
      </c>
      <c r="AI19" s="119">
        <v>99495150</v>
      </c>
      <c r="AJ19" s="123">
        <f t="shared" si="5"/>
        <v>0.41699175622434226</v>
      </c>
      <c r="AK19" s="121">
        <f>'PROGRESS FISIK'!O104</f>
        <v>0.11269999999999999</v>
      </c>
      <c r="AL19" s="119">
        <f>'PROGRESS FISIK'!P104</f>
        <v>0</v>
      </c>
      <c r="AM19" s="122">
        <f t="shared" si="19"/>
        <v>0</v>
      </c>
      <c r="AN19" s="119"/>
      <c r="AO19" s="123">
        <f t="shared" si="6"/>
        <v>0</v>
      </c>
      <c r="AP19" s="121">
        <f>'PROGRESS FISIK'!Q104</f>
        <v>0.3</v>
      </c>
      <c r="AQ19" s="119">
        <f>'PROGRESS FISIK'!R104</f>
        <v>0</v>
      </c>
      <c r="AR19" s="122">
        <f t="shared" si="20"/>
        <v>0</v>
      </c>
      <c r="AS19" s="119"/>
      <c r="AT19" s="123">
        <f t="shared" si="7"/>
        <v>0</v>
      </c>
      <c r="AU19" s="121">
        <f>'PROGRESS FISIK'!S104</f>
        <v>0.63080000000000003</v>
      </c>
      <c r="AV19" s="119">
        <f>'PROGRESS FISIK'!T104</f>
        <v>0</v>
      </c>
      <c r="AW19" s="122">
        <f t="shared" si="21"/>
        <v>0</v>
      </c>
      <c r="AX19" s="28">
        <f>99495150+900000+2050000</f>
        <v>102445150</v>
      </c>
      <c r="AY19" s="123">
        <f t="shared" si="8"/>
        <v>0.42935543104529394</v>
      </c>
      <c r="AZ19" s="121">
        <f>'PROGRESS FISIK'!U104</f>
        <v>1</v>
      </c>
      <c r="BA19" s="119">
        <f>'PROGRESS FISIK'!V104</f>
        <v>219</v>
      </c>
      <c r="BB19" s="122">
        <f t="shared" si="22"/>
        <v>1.394904458598726</v>
      </c>
      <c r="BC19" s="129">
        <v>14652000</v>
      </c>
      <c r="BD19" s="123">
        <f t="shared" si="9"/>
        <v>6.140764863613013E-2</v>
      </c>
      <c r="BE19" s="121">
        <f>'PROGRESS FISIK'!W104</f>
        <v>1</v>
      </c>
      <c r="BF19" s="119">
        <f>'PROGRESS FISIK'!X104</f>
        <v>219</v>
      </c>
      <c r="BG19" s="122">
        <f t="shared" si="23"/>
        <v>1.394904458598726</v>
      </c>
      <c r="BH19" s="125">
        <v>0</v>
      </c>
      <c r="BI19" s="123">
        <f t="shared" si="10"/>
        <v>0</v>
      </c>
      <c r="BJ19" s="121">
        <f>'PROGRESS FISIK'!Y104</f>
        <v>1</v>
      </c>
      <c r="BK19" s="119">
        <f>'PROGRESS FISIK'!Z104</f>
        <v>219</v>
      </c>
      <c r="BL19" s="122">
        <f t="shared" si="24"/>
        <v>1.394904458598726</v>
      </c>
      <c r="BM19" s="139">
        <f t="shared" si="33"/>
        <v>236806300</v>
      </c>
      <c r="BN19" s="140">
        <f t="shared" si="11"/>
        <v>0.99247325042465351</v>
      </c>
      <c r="BO19" s="141">
        <f t="shared" ref="BO19:BP19" si="39">BJ19</f>
        <v>1</v>
      </c>
      <c r="BP19" s="142">
        <f t="shared" si="39"/>
        <v>219</v>
      </c>
      <c r="BQ19" s="143">
        <f t="shared" si="25"/>
        <v>1.394904458598726</v>
      </c>
      <c r="BR19" s="26" t="s">
        <v>265</v>
      </c>
      <c r="BS19" s="159" t="s">
        <v>254</v>
      </c>
      <c r="BT19" s="51">
        <f t="shared" si="35"/>
        <v>-1795899</v>
      </c>
      <c r="BU19" s="144">
        <f t="shared" si="36"/>
        <v>117097150</v>
      </c>
    </row>
    <row r="20" spans="1:73" ht="109.5" customHeight="1" x14ac:dyDescent="0.2">
      <c r="A20" s="90" t="s">
        <v>212</v>
      </c>
      <c r="B20" s="116" t="s">
        <v>266</v>
      </c>
      <c r="C20" s="71">
        <v>1370131412</v>
      </c>
      <c r="D20" s="160">
        <v>1362</v>
      </c>
      <c r="E20" s="119"/>
      <c r="F20" s="120">
        <f t="shared" si="0"/>
        <v>0</v>
      </c>
      <c r="G20" s="121">
        <f>'PROGRESS FISIK'!C112</f>
        <v>0</v>
      </c>
      <c r="H20" s="119">
        <f>'PROGRESS FISIK'!D112</f>
        <v>0</v>
      </c>
      <c r="I20" s="122">
        <f t="shared" si="12"/>
        <v>0</v>
      </c>
      <c r="J20" s="28"/>
      <c r="K20" s="123">
        <f t="shared" si="13"/>
        <v>0</v>
      </c>
      <c r="L20" s="124">
        <f>'PROGRESS FISIK'!E112</f>
        <v>0</v>
      </c>
      <c r="M20" s="24">
        <f>'PROGRESS FISIK'!F112</f>
        <v>0</v>
      </c>
      <c r="N20" s="122">
        <f t="shared" si="14"/>
        <v>0</v>
      </c>
      <c r="O20" s="125">
        <v>78810000</v>
      </c>
      <c r="P20" s="123">
        <f t="shared" si="1"/>
        <v>5.7520030056795748E-2</v>
      </c>
      <c r="Q20" s="121">
        <f>'PROGRESS FISIK'!G112</f>
        <v>0</v>
      </c>
      <c r="R20" s="119">
        <f>'PROGRESS FISIK'!H112</f>
        <v>0</v>
      </c>
      <c r="S20" s="122">
        <f t="shared" si="15"/>
        <v>0</v>
      </c>
      <c r="T20" s="51">
        <v>43094000</v>
      </c>
      <c r="U20" s="123">
        <f t="shared" si="2"/>
        <v>3.1452457496098922E-2</v>
      </c>
      <c r="V20" s="121">
        <f>'PROGRESS FISIK'!I112</f>
        <v>0</v>
      </c>
      <c r="W20" s="119">
        <f>'PROGRESS FISIK'!J112</f>
        <v>0</v>
      </c>
      <c r="X20" s="122">
        <f t="shared" si="16"/>
        <v>0</v>
      </c>
      <c r="Y20" s="119"/>
      <c r="Z20" s="123">
        <f t="shared" si="3"/>
        <v>0</v>
      </c>
      <c r="AA20" s="121">
        <f>'PROGRESS FISIK'!K112</f>
        <v>0</v>
      </c>
      <c r="AB20" s="119">
        <f>'PROGRESS FISIK'!L112</f>
        <v>0</v>
      </c>
      <c r="AC20" s="122">
        <f t="shared" si="17"/>
        <v>0</v>
      </c>
      <c r="AD20" s="161">
        <f>97667325+98492975</f>
        <v>196160300</v>
      </c>
      <c r="AE20" s="123">
        <f t="shared" si="4"/>
        <v>0.14316896779533145</v>
      </c>
      <c r="AF20" s="121">
        <f>'PROGRESS FISIK'!M112</f>
        <v>0.105</v>
      </c>
      <c r="AG20" s="119">
        <f>'PROGRESS FISIK'!N112</f>
        <v>0</v>
      </c>
      <c r="AH20" s="122">
        <f t="shared" si="18"/>
        <v>0</v>
      </c>
      <c r="AI20" s="137">
        <f>95735300+97499200+84471725+97667325</f>
        <v>375373550</v>
      </c>
      <c r="AJ20" s="123">
        <f t="shared" si="5"/>
        <v>0.27396901254315598</v>
      </c>
      <c r="AK20" s="121">
        <f>'PROGRESS FISIK'!O112</f>
        <v>0.37791666666666662</v>
      </c>
      <c r="AL20" s="119">
        <f>'PROGRESS FISIK'!P112</f>
        <v>259</v>
      </c>
      <c r="AM20" s="122">
        <f t="shared" si="19"/>
        <v>0.19016152716593246</v>
      </c>
      <c r="AN20" s="119">
        <f>92994150</f>
        <v>92994150</v>
      </c>
      <c r="AO20" s="123">
        <f t="shared" si="6"/>
        <v>6.7872431202971359E-2</v>
      </c>
      <c r="AP20" s="121">
        <f>'PROGRESS FISIK'!Q112</f>
        <v>0.79833333333333334</v>
      </c>
      <c r="AQ20" s="119">
        <f>'PROGRESS FISIK'!R112</f>
        <v>897.15</v>
      </c>
      <c r="AR20" s="122">
        <f t="shared" si="20"/>
        <v>0.6587004405286343</v>
      </c>
      <c r="AS20" s="119">
        <f>97499200+98492975+95735300+29415000+92994150</f>
        <v>414136625</v>
      </c>
      <c r="AT20" s="123">
        <f t="shared" si="7"/>
        <v>0.3022605141177509</v>
      </c>
      <c r="AU20" s="121">
        <f>'PROGRESS FISIK'!S112</f>
        <v>1</v>
      </c>
      <c r="AV20" s="119">
        <f>'PROGRESS FISIK'!T112</f>
        <v>1156.29</v>
      </c>
      <c r="AW20" s="122">
        <f t="shared" si="21"/>
        <v>0.84896475770925106</v>
      </c>
      <c r="AX20" s="128">
        <f>84471725+29526000+29581500+4200000+12300000</f>
        <v>160079225</v>
      </c>
      <c r="AY20" s="123">
        <f t="shared" si="8"/>
        <v>0.11683494269088401</v>
      </c>
      <c r="AZ20" s="121">
        <f>'PROGRESS FISIK'!U112</f>
        <v>1</v>
      </c>
      <c r="BA20" s="119">
        <f>'PROGRESS FISIK'!V112</f>
        <v>1156.29</v>
      </c>
      <c r="BB20" s="122">
        <f t="shared" si="22"/>
        <v>0.84896475770925106</v>
      </c>
      <c r="BC20" s="129"/>
      <c r="BD20" s="123">
        <f t="shared" si="9"/>
        <v>0</v>
      </c>
      <c r="BE20" s="121">
        <f>'PROGRESS FISIK'!W112</f>
        <v>1</v>
      </c>
      <c r="BF20" s="119">
        <f>'PROGRESS FISIK'!X112</f>
        <v>1156.29</v>
      </c>
      <c r="BG20" s="122">
        <f t="shared" si="23"/>
        <v>0.84896475770925106</v>
      </c>
      <c r="BH20" s="125">
        <v>0</v>
      </c>
      <c r="BI20" s="123">
        <f t="shared" si="10"/>
        <v>0</v>
      </c>
      <c r="BJ20" s="121">
        <f>'PROGRESS FISIK'!Y112</f>
        <v>1</v>
      </c>
      <c r="BK20" s="119">
        <f>'PROGRESS FISIK'!Z112</f>
        <v>1156.29</v>
      </c>
      <c r="BL20" s="122">
        <f t="shared" si="24"/>
        <v>0.84896475770925106</v>
      </c>
      <c r="BM20" s="139">
        <f t="shared" si="33"/>
        <v>1360647850</v>
      </c>
      <c r="BN20" s="140">
        <f t="shared" si="11"/>
        <v>0.99307835590298843</v>
      </c>
      <c r="BO20" s="141">
        <f t="shared" ref="BO20:BP20" si="40">BJ20</f>
        <v>1</v>
      </c>
      <c r="BP20" s="142">
        <f t="shared" si="40"/>
        <v>1156.29</v>
      </c>
      <c r="BQ20" s="143">
        <f t="shared" si="25"/>
        <v>0.84896475770925106</v>
      </c>
      <c r="BR20" s="26" t="s">
        <v>267</v>
      </c>
      <c r="BS20" s="135" t="s">
        <v>254</v>
      </c>
      <c r="BT20" s="51">
        <f t="shared" si="35"/>
        <v>-9483562</v>
      </c>
      <c r="BU20" s="136">
        <f t="shared" si="36"/>
        <v>160079225</v>
      </c>
    </row>
    <row r="21" spans="1:73" ht="78.75" customHeight="1" x14ac:dyDescent="0.2">
      <c r="A21" s="90" t="s">
        <v>221</v>
      </c>
      <c r="B21" s="116" t="s">
        <v>268</v>
      </c>
      <c r="C21" s="71">
        <v>477700000</v>
      </c>
      <c r="D21" s="158">
        <v>2</v>
      </c>
      <c r="E21" s="119"/>
      <c r="F21" s="120">
        <f t="shared" si="0"/>
        <v>0</v>
      </c>
      <c r="G21" s="121">
        <f>'PROGRESS FISIK'!C116</f>
        <v>0</v>
      </c>
      <c r="H21" s="119">
        <f>'PROGRESS FISIK'!D116</f>
        <v>0</v>
      </c>
      <c r="I21" s="122">
        <f t="shared" si="12"/>
        <v>0</v>
      </c>
      <c r="J21" s="28"/>
      <c r="K21" s="123">
        <f t="shared" si="13"/>
        <v>0</v>
      </c>
      <c r="L21" s="124">
        <f>'PROGRESS FISIK'!E116</f>
        <v>0</v>
      </c>
      <c r="M21" s="24">
        <f>'PROGRESS FISIK'!F116</f>
        <v>0</v>
      </c>
      <c r="N21" s="122">
        <f t="shared" si="14"/>
        <v>0</v>
      </c>
      <c r="O21" s="125"/>
      <c r="P21" s="123">
        <f t="shared" si="1"/>
        <v>0</v>
      </c>
      <c r="Q21" s="121">
        <f>'PROGRESS FISIK'!G116</f>
        <v>0</v>
      </c>
      <c r="R21" s="119">
        <f>'PROGRESS FISIK'!H116</f>
        <v>0</v>
      </c>
      <c r="S21" s="122">
        <f t="shared" si="15"/>
        <v>0</v>
      </c>
      <c r="T21" s="51">
        <v>40872000</v>
      </c>
      <c r="U21" s="123">
        <f t="shared" si="2"/>
        <v>8.5559974879631573E-2</v>
      </c>
      <c r="V21" s="121">
        <f>'PROGRESS FISIK'!I116</f>
        <v>0</v>
      </c>
      <c r="W21" s="119">
        <f>'PROGRESS FISIK'!J116</f>
        <v>0</v>
      </c>
      <c r="X21" s="122">
        <f t="shared" si="16"/>
        <v>0</v>
      </c>
      <c r="Y21" s="119"/>
      <c r="Z21" s="123">
        <f t="shared" si="3"/>
        <v>0</v>
      </c>
      <c r="AA21" s="121">
        <f>'PROGRESS FISIK'!K116</f>
        <v>0</v>
      </c>
      <c r="AB21" s="119">
        <f>'PROGRESS FISIK'!L116</f>
        <v>0</v>
      </c>
      <c r="AC21" s="122">
        <f t="shared" si="17"/>
        <v>0</v>
      </c>
      <c r="AD21" s="119"/>
      <c r="AE21" s="123">
        <f t="shared" si="4"/>
        <v>0</v>
      </c>
      <c r="AF21" s="121">
        <f>'PROGRESS FISIK'!M116</f>
        <v>0</v>
      </c>
      <c r="AG21" s="119">
        <f>'PROGRESS FISIK'!N116</f>
        <v>0</v>
      </c>
      <c r="AH21" s="122">
        <f t="shared" si="18"/>
        <v>0</v>
      </c>
      <c r="AI21" s="161">
        <v>99497700</v>
      </c>
      <c r="AJ21" s="123">
        <f t="shared" si="5"/>
        <v>0.2082849068453004</v>
      </c>
      <c r="AK21" s="121">
        <f>'PROGRESS FISIK'!O116</f>
        <v>0</v>
      </c>
      <c r="AL21" s="119">
        <f>'PROGRESS FISIK'!P116</f>
        <v>0</v>
      </c>
      <c r="AM21" s="122">
        <f t="shared" si="19"/>
        <v>0</v>
      </c>
      <c r="AN21" s="119">
        <v>99386000</v>
      </c>
      <c r="AO21" s="123">
        <f t="shared" si="6"/>
        <v>0.20805107808247855</v>
      </c>
      <c r="AP21" s="121">
        <f>'PROGRESS FISIK'!Q116</f>
        <v>0.6</v>
      </c>
      <c r="AQ21" s="119">
        <f>'PROGRESS FISIK'!R116</f>
        <v>1</v>
      </c>
      <c r="AR21" s="122">
        <f t="shared" si="20"/>
        <v>0.5</v>
      </c>
      <c r="AS21" s="119">
        <f>99497700+99386000+14652000+14652000</f>
        <v>228187700</v>
      </c>
      <c r="AT21" s="123">
        <f t="shared" si="7"/>
        <v>0.47767992463889469</v>
      </c>
      <c r="AU21" s="121">
        <f>'PROGRESS FISIK'!S116</f>
        <v>1</v>
      </c>
      <c r="AV21" s="119">
        <f>'PROGRESS FISIK'!T116</f>
        <v>2</v>
      </c>
      <c r="AW21" s="122">
        <f t="shared" si="21"/>
        <v>1</v>
      </c>
      <c r="AX21" s="28">
        <f>1800000+4100000</f>
        <v>5900000</v>
      </c>
      <c r="AY21" s="123">
        <f t="shared" si="8"/>
        <v>1.2350847812434583E-2</v>
      </c>
      <c r="AZ21" s="121">
        <f>'PROGRESS FISIK'!U116</f>
        <v>1</v>
      </c>
      <c r="BA21" s="119">
        <f>'PROGRESS FISIK'!V116</f>
        <v>2</v>
      </c>
      <c r="BB21" s="122">
        <f t="shared" si="22"/>
        <v>1</v>
      </c>
      <c r="BC21" s="129"/>
      <c r="BD21" s="123">
        <f t="shared" si="9"/>
        <v>0</v>
      </c>
      <c r="BE21" s="121">
        <f>'PROGRESS FISIK'!W116</f>
        <v>1</v>
      </c>
      <c r="BF21" s="119">
        <f>'PROGRESS FISIK'!X116</f>
        <v>2</v>
      </c>
      <c r="BG21" s="122">
        <f t="shared" si="23"/>
        <v>1</v>
      </c>
      <c r="BH21" s="125">
        <v>0</v>
      </c>
      <c r="BI21" s="123">
        <f t="shared" si="10"/>
        <v>0</v>
      </c>
      <c r="BJ21" s="121">
        <f>'PROGRESS FISIK'!Y116</f>
        <v>1</v>
      </c>
      <c r="BK21" s="119">
        <f>'PROGRESS FISIK'!Z116</f>
        <v>2</v>
      </c>
      <c r="BL21" s="122">
        <f t="shared" si="24"/>
        <v>1</v>
      </c>
      <c r="BM21" s="139">
        <f t="shared" si="33"/>
        <v>473843400</v>
      </c>
      <c r="BN21" s="140">
        <f t="shared" si="11"/>
        <v>0.99192673225873984</v>
      </c>
      <c r="BO21" s="141">
        <f t="shared" ref="BO21:BP21" si="41">BJ21</f>
        <v>1</v>
      </c>
      <c r="BP21" s="142">
        <f t="shared" si="41"/>
        <v>2</v>
      </c>
      <c r="BQ21" s="143">
        <f t="shared" si="25"/>
        <v>1</v>
      </c>
      <c r="BR21" s="26" t="s">
        <v>269</v>
      </c>
      <c r="BS21" s="135" t="s">
        <v>254</v>
      </c>
      <c r="BT21" s="51">
        <f t="shared" si="35"/>
        <v>-3856600</v>
      </c>
      <c r="BU21" s="144">
        <f t="shared" si="36"/>
        <v>5900000</v>
      </c>
    </row>
    <row r="22" spans="1:73" ht="136.5" customHeight="1" x14ac:dyDescent="0.2">
      <c r="A22" s="90" t="s">
        <v>223</v>
      </c>
      <c r="B22" s="116" t="s">
        <v>222</v>
      </c>
      <c r="C22" s="71">
        <v>1918622240</v>
      </c>
      <c r="D22" s="158">
        <v>19520</v>
      </c>
      <c r="E22" s="125"/>
      <c r="F22" s="120">
        <f t="shared" si="0"/>
        <v>0</v>
      </c>
      <c r="G22" s="121" t="e">
        <f>'PROGRESS FISIK'!#REF!</f>
        <v>#REF!</v>
      </c>
      <c r="H22" s="119" t="e">
        <f>'PROGRESS FISIK'!#REF!</f>
        <v>#REF!</v>
      </c>
      <c r="I22" s="122" t="e">
        <f t="shared" si="12"/>
        <v>#REF!</v>
      </c>
      <c r="J22" s="125">
        <f>13572900+296758101+13572900</f>
        <v>323903901</v>
      </c>
      <c r="K22" s="123">
        <f t="shared" si="13"/>
        <v>0.16882109163917541</v>
      </c>
      <c r="L22" s="124" t="e">
        <f>'PROGRESS FISIK'!#REF!</f>
        <v>#REF!</v>
      </c>
      <c r="M22" s="24" t="e">
        <f>'PROGRESS FISIK'!#REF!</f>
        <v>#REF!</v>
      </c>
      <c r="N22" s="122" t="e">
        <f t="shared" si="14"/>
        <v>#REF!</v>
      </c>
      <c r="O22" s="125">
        <f>13572900+262407870+98910851+98892540</f>
        <v>473784161</v>
      </c>
      <c r="P22" s="123">
        <f t="shared" si="1"/>
        <v>0.24693978372730632</v>
      </c>
      <c r="Q22" s="124" t="e">
        <f>'PROGRESS FISIK'!#REF!</f>
        <v>#REF!</v>
      </c>
      <c r="R22" s="24" t="e">
        <f>'PROGRESS FISIK'!#REF!</f>
        <v>#REF!</v>
      </c>
      <c r="S22" s="122" t="e">
        <f t="shared" si="15"/>
        <v>#REF!</v>
      </c>
      <c r="T22" s="51">
        <v>174009860</v>
      </c>
      <c r="U22" s="123">
        <f t="shared" si="2"/>
        <v>9.0695216792650121E-2</v>
      </c>
      <c r="V22" s="121" t="e">
        <f>'PROGRESS FISIK'!#REF!</f>
        <v>#REF!</v>
      </c>
      <c r="W22" s="119" t="e">
        <f>'PROGRESS FISIK'!#REF!</f>
        <v>#REF!</v>
      </c>
      <c r="X22" s="122" t="e">
        <f t="shared" si="16"/>
        <v>#REF!</v>
      </c>
      <c r="Y22" s="127">
        <f>11705687+83757800+11680000</f>
        <v>107143487</v>
      </c>
      <c r="Z22" s="123">
        <f t="shared" si="3"/>
        <v>5.5843972182872223E-2</v>
      </c>
      <c r="AA22" s="121" t="e">
        <f>'PROGRESS FISIK'!#REF!</f>
        <v>#REF!</v>
      </c>
      <c r="AB22" s="119" t="e">
        <f>'PROGRESS FISIK'!#REF!</f>
        <v>#REF!</v>
      </c>
      <c r="AC22" s="122" t="e">
        <f t="shared" si="17"/>
        <v>#REF!</v>
      </c>
      <c r="AD22" s="161">
        <f>11705687+83757800</f>
        <v>95463487</v>
      </c>
      <c r="AE22" s="123">
        <f t="shared" si="4"/>
        <v>4.9756270416212833E-2</v>
      </c>
      <c r="AF22" s="121" t="e">
        <f>'PROGRESS FISIK'!#REF!</f>
        <v>#REF!</v>
      </c>
      <c r="AG22" s="119" t="e">
        <f>'PROGRESS FISIK'!#REF!</f>
        <v>#REF!</v>
      </c>
      <c r="AH22" s="122" t="e">
        <f t="shared" si="18"/>
        <v>#REF!</v>
      </c>
      <c r="AI22" s="162">
        <v>11705687</v>
      </c>
      <c r="AJ22" s="123">
        <f t="shared" si="5"/>
        <v>6.1010900196799556E-3</v>
      </c>
      <c r="AK22" s="121" t="e">
        <f>'PROGRESS FISIK'!#REF!</f>
        <v>#REF!</v>
      </c>
      <c r="AL22" s="119" t="e">
        <f>'PROGRESS FISIK'!#REF!</f>
        <v>#REF!</v>
      </c>
      <c r="AM22" s="122" t="e">
        <f t="shared" si="19"/>
        <v>#REF!</v>
      </c>
      <c r="AN22" s="119">
        <v>11705687</v>
      </c>
      <c r="AO22" s="123">
        <f t="shared" si="6"/>
        <v>6.1010900196799556E-3</v>
      </c>
      <c r="AP22" s="121" t="e">
        <f>'PROGRESS FISIK'!#REF!</f>
        <v>#REF!</v>
      </c>
      <c r="AQ22" s="119" t="e">
        <f>'PROGRESS FISIK'!#REF!</f>
        <v>#REF!</v>
      </c>
      <c r="AR22" s="122" t="e">
        <f t="shared" si="20"/>
        <v>#REF!</v>
      </c>
      <c r="AS22" s="162">
        <v>11705687</v>
      </c>
      <c r="AT22" s="123">
        <f t="shared" si="7"/>
        <v>6.1010900196799556E-3</v>
      </c>
      <c r="AU22" s="121" t="e">
        <f>'PROGRESS FISIK'!#REF!</f>
        <v>#REF!</v>
      </c>
      <c r="AV22" s="119" t="e">
        <f>'PROGRESS FISIK'!#REF!</f>
        <v>#REF!</v>
      </c>
      <c r="AW22" s="122" t="e">
        <f t="shared" si="21"/>
        <v>#REF!</v>
      </c>
      <c r="AX22" s="163">
        <f>11705687+17520000+3000000+6900000+99092450+99116000+99108550</f>
        <v>336442687</v>
      </c>
      <c r="AY22" s="123">
        <f t="shared" si="8"/>
        <v>0.17535639897513125</v>
      </c>
      <c r="AZ22" s="121" t="e">
        <f>'PROGRESS FISIK'!#REF!</f>
        <v>#REF!</v>
      </c>
      <c r="BA22" s="119" t="e">
        <f>'PROGRESS FISIK'!#REF!</f>
        <v>#REF!</v>
      </c>
      <c r="BB22" s="122" t="e">
        <f t="shared" si="22"/>
        <v>#REF!</v>
      </c>
      <c r="BC22" s="129">
        <f>11705687+99116000+99108550</f>
        <v>209930237</v>
      </c>
      <c r="BD22" s="123">
        <f t="shared" si="9"/>
        <v>0.10941718104966823</v>
      </c>
      <c r="BE22" s="121" t="e">
        <f>'PROGRESS FISIK'!#REF!</f>
        <v>#REF!</v>
      </c>
      <c r="BF22" s="119" t="e">
        <f>'PROGRESS FISIK'!#REF!</f>
        <v>#REF!</v>
      </c>
      <c r="BG22" s="122" t="e">
        <f t="shared" si="23"/>
        <v>#REF!</v>
      </c>
      <c r="BH22" s="125">
        <f>11705687+5840000+99092450+1500000+2250000+2400000</f>
        <v>122788137</v>
      </c>
      <c r="BI22" s="123">
        <f t="shared" si="10"/>
        <v>6.3998078642098929E-2</v>
      </c>
      <c r="BJ22" s="121" t="e">
        <f>'PROGRESS FISIK'!#REF!</f>
        <v>#REF!</v>
      </c>
      <c r="BK22" s="119" t="e">
        <f>'PROGRESS FISIK'!#REF!</f>
        <v>#REF!</v>
      </c>
      <c r="BL22" s="122" t="e">
        <f t="shared" si="24"/>
        <v>#REF!</v>
      </c>
      <c r="BM22" s="139">
        <f t="shared" si="33"/>
        <v>1878583018</v>
      </c>
      <c r="BN22" s="140">
        <f t="shared" si="11"/>
        <v>0.97913126348415513</v>
      </c>
      <c r="BO22" s="141" t="e">
        <f t="shared" ref="BO22:BP22" si="42">BJ22</f>
        <v>#REF!</v>
      </c>
      <c r="BP22" s="142" t="e">
        <f t="shared" si="42"/>
        <v>#REF!</v>
      </c>
      <c r="BQ22" s="143" t="e">
        <f t="shared" si="25"/>
        <v>#REF!</v>
      </c>
      <c r="BR22" s="26" t="s">
        <v>270</v>
      </c>
      <c r="BS22" s="135" t="s">
        <v>254</v>
      </c>
      <c r="BT22" s="51">
        <f t="shared" si="35"/>
        <v>-40039222</v>
      </c>
      <c r="BU22" s="164">
        <f t="shared" si="36"/>
        <v>669161061</v>
      </c>
    </row>
    <row r="23" spans="1:73" ht="68.25" customHeight="1" x14ac:dyDescent="0.2">
      <c r="A23" s="90" t="s">
        <v>225</v>
      </c>
      <c r="B23" s="116" t="s">
        <v>224</v>
      </c>
      <c r="C23" s="71">
        <v>400882500</v>
      </c>
      <c r="D23" s="158">
        <v>7500</v>
      </c>
      <c r="E23" s="119"/>
      <c r="F23" s="120">
        <f t="shared" si="0"/>
        <v>0</v>
      </c>
      <c r="G23" s="121" t="e">
        <f>'PROGRESS FISIK'!#REF!</f>
        <v>#REF!</v>
      </c>
      <c r="H23" s="119" t="e">
        <f>'PROGRESS FISIK'!#REF!</f>
        <v>#REF!</v>
      </c>
      <c r="I23" s="122" t="e">
        <f t="shared" si="12"/>
        <v>#REF!</v>
      </c>
      <c r="J23" s="165">
        <v>198014562</v>
      </c>
      <c r="K23" s="123">
        <f t="shared" si="13"/>
        <v>0.49394663523601057</v>
      </c>
      <c r="L23" s="124" t="e">
        <f>'PROGRESS FISIK'!#REF!</f>
        <v>#REF!</v>
      </c>
      <c r="M23" s="24" t="e">
        <f>'PROGRESS FISIK'!#REF!</f>
        <v>#REF!</v>
      </c>
      <c r="N23" s="122" t="e">
        <f t="shared" si="14"/>
        <v>#REF!</v>
      </c>
      <c r="O23" s="125"/>
      <c r="P23" s="123">
        <f t="shared" si="1"/>
        <v>0</v>
      </c>
      <c r="Q23" s="121" t="e">
        <f>'PROGRESS FISIK'!#REF!</f>
        <v>#REF!</v>
      </c>
      <c r="R23" s="119" t="e">
        <f>'PROGRESS FISIK'!#REF!</f>
        <v>#REF!</v>
      </c>
      <c r="S23" s="122" t="e">
        <f t="shared" si="15"/>
        <v>#REF!</v>
      </c>
      <c r="T23" s="24"/>
      <c r="U23" s="123">
        <f t="shared" si="2"/>
        <v>0</v>
      </c>
      <c r="V23" s="121" t="e">
        <f>'PROGRESS FISIK'!#REF!</f>
        <v>#REF!</v>
      </c>
      <c r="W23" s="119" t="e">
        <f>'PROGRESS FISIK'!#REF!</f>
        <v>#REF!</v>
      </c>
      <c r="X23" s="122" t="e">
        <f t="shared" si="16"/>
        <v>#REF!</v>
      </c>
      <c r="Y23" s="119">
        <v>198014562</v>
      </c>
      <c r="Z23" s="123">
        <f t="shared" si="3"/>
        <v>0.49394663523601057</v>
      </c>
      <c r="AA23" s="166" t="e">
        <f>'PROGRESS FISIK'!#REF!</f>
        <v>#REF!</v>
      </c>
      <c r="AB23" s="127" t="e">
        <f>'PROGRESS FISIK'!#REF!</f>
        <v>#REF!</v>
      </c>
      <c r="AC23" s="122" t="e">
        <f t="shared" si="17"/>
        <v>#REF!</v>
      </c>
      <c r="AD23" s="119"/>
      <c r="AE23" s="123">
        <f t="shared" si="4"/>
        <v>0</v>
      </c>
      <c r="AF23" s="166" t="e">
        <f>'PROGRESS FISIK'!#REF!</f>
        <v>#REF!</v>
      </c>
      <c r="AG23" s="127" t="e">
        <f>'PROGRESS FISIK'!#REF!</f>
        <v>#REF!</v>
      </c>
      <c r="AH23" s="122" t="e">
        <f t="shared" si="18"/>
        <v>#REF!</v>
      </c>
      <c r="AI23" s="119"/>
      <c r="AJ23" s="123">
        <f t="shared" si="5"/>
        <v>0</v>
      </c>
      <c r="AK23" s="166" t="e">
        <f>'PROGRESS FISIK'!#REF!</f>
        <v>#REF!</v>
      </c>
      <c r="AL23" s="127" t="e">
        <f>'PROGRESS FISIK'!#REF!</f>
        <v>#REF!</v>
      </c>
      <c r="AM23" s="122" t="e">
        <f t="shared" si="19"/>
        <v>#REF!</v>
      </c>
      <c r="AN23" s="119"/>
      <c r="AO23" s="123">
        <f t="shared" si="6"/>
        <v>0</v>
      </c>
      <c r="AP23" s="166" t="e">
        <f>'PROGRESS FISIK'!#REF!</f>
        <v>#REF!</v>
      </c>
      <c r="AQ23" s="127" t="e">
        <f>'PROGRESS FISIK'!#REF!</f>
        <v>#REF!</v>
      </c>
      <c r="AR23" s="122" t="e">
        <f t="shared" si="20"/>
        <v>#REF!</v>
      </c>
      <c r="AS23" s="119"/>
      <c r="AT23" s="123">
        <f t="shared" si="7"/>
        <v>0</v>
      </c>
      <c r="AU23" s="166" t="e">
        <f>'PROGRESS FISIK'!#REF!</f>
        <v>#REF!</v>
      </c>
      <c r="AV23" s="127" t="e">
        <f>'PROGRESS FISIK'!#REF!</f>
        <v>#REF!</v>
      </c>
      <c r="AW23" s="122" t="e">
        <f t="shared" si="21"/>
        <v>#REF!</v>
      </c>
      <c r="AX23" s="28">
        <f>1000000+2300000</f>
        <v>3300000</v>
      </c>
      <c r="AY23" s="123">
        <f t="shared" si="8"/>
        <v>8.2318385062954864E-3</v>
      </c>
      <c r="AZ23" s="166" t="e">
        <f>'PROGRESS FISIK'!#REF!</f>
        <v>#REF!</v>
      </c>
      <c r="BA23" s="127" t="e">
        <f>'PROGRESS FISIK'!#REF!</f>
        <v>#REF!</v>
      </c>
      <c r="BB23" s="122" t="e">
        <f t="shared" si="22"/>
        <v>#REF!</v>
      </c>
      <c r="BC23" s="129"/>
      <c r="BD23" s="123">
        <f t="shared" si="9"/>
        <v>0</v>
      </c>
      <c r="BE23" s="166" t="e">
        <f>'PROGRESS FISIK'!#REF!</f>
        <v>#REF!</v>
      </c>
      <c r="BF23" s="127" t="e">
        <f>'PROGRESS FISIK'!#REF!</f>
        <v>#REF!</v>
      </c>
      <c r="BG23" s="122" t="e">
        <f t="shared" si="23"/>
        <v>#REF!</v>
      </c>
      <c r="BH23" s="125">
        <v>0</v>
      </c>
      <c r="BI23" s="123">
        <f t="shared" si="10"/>
        <v>0</v>
      </c>
      <c r="BJ23" s="166" t="e">
        <f>'PROGRESS FISIK'!#REF!</f>
        <v>#REF!</v>
      </c>
      <c r="BK23" s="119" t="e">
        <f>'PROGRESS FISIK'!#REF!</f>
        <v>#REF!</v>
      </c>
      <c r="BL23" s="122" t="e">
        <f t="shared" si="24"/>
        <v>#REF!</v>
      </c>
      <c r="BM23" s="139">
        <f t="shared" si="33"/>
        <v>399329124</v>
      </c>
      <c r="BN23" s="140">
        <f t="shared" si="11"/>
        <v>0.99612510897831663</v>
      </c>
      <c r="BO23" s="167" t="e">
        <f t="shared" ref="BO23:BP23" si="43">BJ23</f>
        <v>#REF!</v>
      </c>
      <c r="BP23" s="142" t="e">
        <f t="shared" si="43"/>
        <v>#REF!</v>
      </c>
      <c r="BQ23" s="143" t="e">
        <f t="shared" si="25"/>
        <v>#REF!</v>
      </c>
      <c r="BR23" s="26" t="s">
        <v>271</v>
      </c>
      <c r="BS23" s="135" t="s">
        <v>254</v>
      </c>
      <c r="BT23" s="51">
        <f t="shared" si="35"/>
        <v>-1553376</v>
      </c>
      <c r="BU23" s="144">
        <f t="shared" si="36"/>
        <v>3300000</v>
      </c>
    </row>
    <row r="24" spans="1:73" ht="12.75" x14ac:dyDescent="0.2">
      <c r="A24" s="16"/>
      <c r="B24" s="73"/>
      <c r="C24" s="16"/>
      <c r="D24" s="16">
        <f>D22+D23</f>
        <v>27020</v>
      </c>
      <c r="J24" s="16"/>
      <c r="L24" s="3"/>
      <c r="M24" s="3"/>
      <c r="O24" s="74"/>
      <c r="T24" s="3"/>
      <c r="AX24" s="16"/>
      <c r="BC24" s="76"/>
      <c r="BH24" s="74"/>
      <c r="BM24" s="3"/>
      <c r="BN24" s="3"/>
      <c r="BO24" s="3"/>
      <c r="BP24" s="3"/>
      <c r="BQ24" s="3"/>
      <c r="BR24" s="4"/>
      <c r="BS24" s="79"/>
      <c r="BT24" s="3"/>
    </row>
    <row r="25" spans="1:73" ht="12.75" x14ac:dyDescent="0.2">
      <c r="A25" s="16"/>
      <c r="B25" s="73"/>
      <c r="C25" s="16"/>
      <c r="D25" s="16"/>
      <c r="J25" s="168">
        <f>J14+E14+J15</f>
        <v>571646463</v>
      </c>
      <c r="L25" s="3"/>
      <c r="M25" s="3"/>
      <c r="O25" s="74"/>
      <c r="T25" s="3"/>
      <c r="AX25" s="16"/>
      <c r="BC25" s="76"/>
      <c r="BH25" s="74"/>
      <c r="BM25" s="3"/>
      <c r="BN25" s="3"/>
      <c r="BO25" s="3"/>
      <c r="BP25" s="3"/>
      <c r="BQ25" s="3"/>
      <c r="BR25" s="4"/>
      <c r="BS25" s="79"/>
      <c r="BT25" s="3"/>
      <c r="BU25" s="144">
        <f>SUM(BU16:BU23)</f>
        <v>2528488946</v>
      </c>
    </row>
    <row r="26" spans="1:73" ht="12.75" x14ac:dyDescent="0.2">
      <c r="A26" s="16"/>
      <c r="B26" s="73"/>
      <c r="C26" s="16"/>
      <c r="D26" s="16"/>
      <c r="J26" s="16"/>
      <c r="L26" s="3"/>
      <c r="M26" s="3"/>
      <c r="O26" s="169"/>
      <c r="T26" s="3"/>
      <c r="AX26" s="16"/>
      <c r="BC26" s="76"/>
      <c r="BH26" s="74"/>
      <c r="BM26" s="170"/>
      <c r="BN26" s="3"/>
      <c r="BO26" s="3"/>
      <c r="BP26" s="3"/>
      <c r="BQ26" s="3"/>
      <c r="BR26" s="4"/>
      <c r="BS26" s="79"/>
      <c r="BT26" s="3"/>
      <c r="BU26" s="144">
        <f>BU25+BU14</f>
        <v>17666543125</v>
      </c>
    </row>
    <row r="27" spans="1:73" ht="12.75" x14ac:dyDescent="0.2">
      <c r="A27" s="16"/>
      <c r="B27" s="73"/>
      <c r="C27" s="16">
        <v>5000000</v>
      </c>
      <c r="D27" s="16"/>
      <c r="J27" s="16"/>
      <c r="L27" s="3"/>
      <c r="M27" s="3"/>
      <c r="O27" s="74"/>
      <c r="T27" s="170"/>
      <c r="AN27" s="136"/>
      <c r="AX27" s="16"/>
      <c r="BC27" s="76"/>
      <c r="BH27" s="74"/>
      <c r="BM27" s="170"/>
      <c r="BN27" s="3"/>
      <c r="BO27" s="3"/>
      <c r="BP27" s="3"/>
      <c r="BQ27" s="3"/>
      <c r="BR27" s="4"/>
      <c r="BS27" s="79"/>
      <c r="BT27" s="3"/>
    </row>
    <row r="28" spans="1:73" ht="12.75" x14ac:dyDescent="0.2">
      <c r="A28" s="16"/>
      <c r="B28" s="73"/>
      <c r="C28" s="168">
        <f>C11-C27</f>
        <v>11787417080</v>
      </c>
      <c r="D28" s="16"/>
      <c r="J28" s="16"/>
      <c r="L28" s="3"/>
      <c r="M28" s="3"/>
      <c r="O28" s="74"/>
      <c r="T28" s="3"/>
      <c r="AX28" s="16"/>
      <c r="BC28" s="76"/>
      <c r="BH28" s="74"/>
      <c r="BM28" s="170"/>
      <c r="BN28" s="3"/>
      <c r="BO28" s="3"/>
      <c r="BP28" s="3"/>
      <c r="BQ28" s="3"/>
      <c r="BR28" s="4"/>
      <c r="BS28" s="79"/>
      <c r="BT28" s="3"/>
      <c r="BU28" s="170">
        <v>51275400</v>
      </c>
    </row>
    <row r="29" spans="1:73" ht="12.75" x14ac:dyDescent="0.2">
      <c r="A29" s="16"/>
      <c r="B29" s="73"/>
      <c r="C29" s="16"/>
      <c r="D29" s="16"/>
      <c r="J29" s="16"/>
      <c r="L29" s="3"/>
      <c r="M29" s="3"/>
      <c r="O29" s="74"/>
      <c r="T29" s="3"/>
      <c r="AX29" s="16"/>
      <c r="BC29" s="76"/>
      <c r="BH29" s="74"/>
      <c r="BM29" s="170"/>
      <c r="BN29" s="3"/>
      <c r="BO29" s="3"/>
      <c r="BP29" s="3"/>
      <c r="BQ29" s="3"/>
      <c r="BR29" s="4"/>
      <c r="BS29" s="79"/>
      <c r="BT29" s="3"/>
      <c r="BU29" s="144">
        <f>BU23+BU21+BU20+BU19+BU18+BU17+BU16</f>
        <v>1859327885</v>
      </c>
    </row>
    <row r="30" spans="1:73" ht="12.75" x14ac:dyDescent="0.2">
      <c r="A30" s="16"/>
      <c r="B30" s="73"/>
      <c r="C30" s="16">
        <v>8000000</v>
      </c>
      <c r="D30" s="16"/>
      <c r="J30" s="16"/>
      <c r="L30" s="3"/>
      <c r="M30" s="3"/>
      <c r="O30" s="74"/>
      <c r="T30" s="3"/>
      <c r="AX30" s="171">
        <v>1959701711</v>
      </c>
      <c r="BC30" s="76"/>
      <c r="BH30" s="74"/>
      <c r="BM30" s="3"/>
      <c r="BN30" s="3"/>
      <c r="BO30" s="3"/>
      <c r="BP30" s="3"/>
      <c r="BQ30" s="3"/>
      <c r="BR30" s="4"/>
      <c r="BS30" s="79"/>
      <c r="BT30" s="3"/>
      <c r="BU30" s="164">
        <f>BU22-BU28</f>
        <v>617885661</v>
      </c>
    </row>
    <row r="31" spans="1:73" ht="12.75" x14ac:dyDescent="0.2">
      <c r="A31" s="16"/>
      <c r="B31" s="73"/>
      <c r="C31" s="168">
        <f>C10-C30</f>
        <v>10639830402</v>
      </c>
      <c r="D31" s="16"/>
      <c r="J31" s="16"/>
      <c r="L31" s="3"/>
      <c r="M31" s="3"/>
      <c r="O31" s="74"/>
      <c r="T31" s="3"/>
      <c r="AX31" s="171">
        <f>AX30-AX7</f>
        <v>-659832550</v>
      </c>
      <c r="BC31" s="76"/>
      <c r="BH31" s="74">
        <v>8221553345</v>
      </c>
      <c r="BJ31" s="144">
        <f>BH17-BJ32</f>
        <v>49950329</v>
      </c>
      <c r="BM31" s="170"/>
      <c r="BN31" s="3"/>
      <c r="BO31" s="3"/>
      <c r="BP31" s="3"/>
      <c r="BQ31" s="3"/>
      <c r="BR31" s="4"/>
      <c r="BS31" s="79"/>
      <c r="BT31" s="3"/>
      <c r="BU31" s="164">
        <f>BU30+BU29</f>
        <v>2477213546</v>
      </c>
    </row>
    <row r="32" spans="1:73" ht="12.75" x14ac:dyDescent="0.2">
      <c r="A32" s="16"/>
      <c r="B32" s="73"/>
      <c r="C32" s="16"/>
      <c r="D32" s="16"/>
      <c r="J32" s="16"/>
      <c r="L32" s="3"/>
      <c r="M32" s="3"/>
      <c r="O32" s="74"/>
      <c r="T32" s="3"/>
      <c r="AX32" s="16"/>
      <c r="BC32" s="76"/>
      <c r="BH32" s="74">
        <f>BH31-BM10</f>
        <v>-2085333428</v>
      </c>
      <c r="BJ32" s="136">
        <v>791650719</v>
      </c>
      <c r="BM32" s="3"/>
      <c r="BN32" s="3"/>
      <c r="BO32" s="3"/>
      <c r="BP32" s="3"/>
      <c r="BQ32" s="3"/>
      <c r="BR32" s="4"/>
      <c r="BS32" s="79"/>
      <c r="BT32" s="3"/>
    </row>
    <row r="33" spans="1:72" ht="12.75" x14ac:dyDescent="0.2">
      <c r="A33" s="16"/>
      <c r="B33" s="73"/>
      <c r="C33" s="16">
        <v>1000000</v>
      </c>
      <c r="D33" s="16"/>
      <c r="J33" s="16"/>
      <c r="L33" s="3"/>
      <c r="M33" s="3"/>
      <c r="O33" s="74"/>
      <c r="T33" s="3"/>
      <c r="AX33" s="16"/>
      <c r="BC33" s="76"/>
      <c r="BH33" s="74"/>
      <c r="BM33" s="3"/>
      <c r="BN33" s="3"/>
      <c r="BO33" s="3"/>
      <c r="BP33" s="3"/>
      <c r="BQ33" s="3"/>
      <c r="BR33" s="4"/>
      <c r="BS33" s="79"/>
      <c r="BT33" s="3"/>
    </row>
    <row r="34" spans="1:72" ht="12.75" x14ac:dyDescent="0.2">
      <c r="A34" s="16"/>
      <c r="B34" s="73"/>
      <c r="C34" s="64">
        <f>C17-C33</f>
        <v>1712867347</v>
      </c>
      <c r="D34" s="16"/>
      <c r="J34" s="16"/>
      <c r="L34" s="3"/>
      <c r="M34" s="3"/>
      <c r="O34" s="74"/>
      <c r="T34" s="3"/>
      <c r="AX34" s="171">
        <v>899873900</v>
      </c>
      <c r="BC34" s="76"/>
      <c r="BH34" s="74"/>
      <c r="BM34" s="3"/>
      <c r="BN34" s="3"/>
      <c r="BO34" s="3"/>
      <c r="BP34" s="3"/>
      <c r="BQ34" s="3"/>
      <c r="BR34" s="4"/>
      <c r="BS34" s="79"/>
      <c r="BT34" s="3"/>
    </row>
    <row r="35" spans="1:72" ht="12.75" x14ac:dyDescent="0.2">
      <c r="A35" s="16"/>
      <c r="B35" s="73"/>
      <c r="C35" s="16"/>
      <c r="D35" s="16"/>
      <c r="J35" s="16"/>
      <c r="L35" s="3"/>
      <c r="M35" s="3"/>
      <c r="O35" s="74"/>
      <c r="T35" s="3"/>
      <c r="AX35" s="171">
        <f>AX34-AX10</f>
        <v>786850</v>
      </c>
      <c r="BC35" s="76"/>
      <c r="BH35" s="74"/>
      <c r="BM35" s="3"/>
      <c r="BN35" s="3"/>
      <c r="BO35" s="3"/>
      <c r="BP35" s="3"/>
      <c r="BQ35" s="3"/>
      <c r="BR35" s="4"/>
      <c r="BS35" s="79"/>
      <c r="BT35" s="3"/>
    </row>
    <row r="36" spans="1:72" ht="12.75" x14ac:dyDescent="0.2">
      <c r="A36" s="16"/>
      <c r="B36" s="73"/>
      <c r="C36" s="16"/>
      <c r="D36" s="16"/>
      <c r="J36" s="16"/>
      <c r="L36" s="3"/>
      <c r="M36" s="3"/>
      <c r="O36" s="74"/>
      <c r="T36" s="3"/>
      <c r="AX36" s="16"/>
      <c r="BC36" s="76"/>
      <c r="BH36" s="74"/>
      <c r="BM36" s="77"/>
      <c r="BN36" s="3"/>
      <c r="BO36" s="3"/>
      <c r="BP36" s="3"/>
      <c r="BQ36" s="3"/>
      <c r="BR36" s="4"/>
      <c r="BS36" s="79"/>
      <c r="BT36" s="3"/>
    </row>
    <row r="37" spans="1:72" ht="12.75" x14ac:dyDescent="0.2">
      <c r="A37" s="16"/>
      <c r="B37" s="73"/>
      <c r="C37" s="16"/>
      <c r="D37" s="16"/>
      <c r="J37" s="16"/>
      <c r="L37" s="3"/>
      <c r="M37" s="3"/>
      <c r="O37" s="74"/>
      <c r="T37" s="3"/>
      <c r="AX37" s="16"/>
      <c r="BC37" s="76"/>
      <c r="BH37" s="74"/>
      <c r="BM37" s="3"/>
      <c r="BN37" s="3"/>
      <c r="BO37" s="3"/>
      <c r="BP37" s="3"/>
      <c r="BQ37" s="3"/>
      <c r="BR37" s="4"/>
      <c r="BS37" s="79"/>
      <c r="BT37" s="3"/>
    </row>
    <row r="38" spans="1:72" ht="12.75" x14ac:dyDescent="0.2">
      <c r="A38" s="16"/>
      <c r="B38" s="73"/>
      <c r="C38" s="16">
        <v>462500000</v>
      </c>
      <c r="D38" s="16"/>
      <c r="J38" s="16"/>
      <c r="L38" s="3"/>
      <c r="M38" s="3"/>
      <c r="O38" s="74"/>
      <c r="T38" s="3"/>
      <c r="AX38" s="16"/>
      <c r="BC38" s="76"/>
      <c r="BH38" s="74"/>
      <c r="BM38" s="3"/>
      <c r="BN38" s="3"/>
      <c r="BO38" s="3"/>
      <c r="BP38" s="3"/>
      <c r="BQ38" s="3"/>
      <c r="BR38" s="4"/>
      <c r="BS38" s="79"/>
      <c r="BT38" s="3"/>
    </row>
    <row r="39" spans="1:72" ht="12.75" x14ac:dyDescent="0.2">
      <c r="A39" s="16"/>
      <c r="B39" s="73"/>
      <c r="C39" s="16">
        <v>430900000</v>
      </c>
      <c r="D39" s="16"/>
      <c r="J39" s="16"/>
      <c r="L39" s="3"/>
      <c r="M39" s="3"/>
      <c r="O39" s="74"/>
      <c r="T39" s="3"/>
      <c r="AX39" s="16"/>
      <c r="BC39" s="76"/>
      <c r="BH39" s="74"/>
      <c r="BM39" s="3"/>
      <c r="BN39" s="3"/>
      <c r="BO39" s="3"/>
      <c r="BP39" s="3"/>
      <c r="BQ39" s="3"/>
      <c r="BR39" s="4"/>
      <c r="BS39" s="79"/>
      <c r="BT39" s="3"/>
    </row>
    <row r="40" spans="1:72" ht="12.75" x14ac:dyDescent="0.2">
      <c r="A40" s="16"/>
      <c r="B40" s="73"/>
      <c r="C40" s="64">
        <f>C16-C38+C39</f>
        <v>626550000</v>
      </c>
      <c r="D40" s="16"/>
      <c r="J40" s="16"/>
      <c r="L40" s="3"/>
      <c r="M40" s="3"/>
      <c r="O40" s="74"/>
      <c r="T40" s="3"/>
      <c r="AX40" s="16"/>
      <c r="BC40" s="76"/>
      <c r="BH40" s="74"/>
      <c r="BM40" s="3"/>
      <c r="BN40" s="3"/>
      <c r="BO40" s="3"/>
      <c r="BP40" s="3"/>
      <c r="BQ40" s="3"/>
      <c r="BR40" s="4"/>
      <c r="BS40" s="79"/>
      <c r="BT40" s="3"/>
    </row>
    <row r="41" spans="1:72" ht="12.75" x14ac:dyDescent="0.2">
      <c r="A41" s="16"/>
      <c r="B41" s="73"/>
      <c r="C41" s="16"/>
      <c r="D41" s="16"/>
      <c r="J41" s="16"/>
      <c r="L41" s="3"/>
      <c r="M41" s="3"/>
      <c r="O41" s="74"/>
      <c r="T41" s="3"/>
      <c r="AX41" s="76">
        <f>E10+J10+O10+T10+Y10+AD10+AI10+AN10+AS10+AX10</f>
        <v>2884386026</v>
      </c>
      <c r="BC41" s="76"/>
      <c r="BH41" s="74"/>
      <c r="BM41" s="3"/>
      <c r="BN41" s="3"/>
      <c r="BO41" s="3"/>
      <c r="BP41" s="3"/>
      <c r="BQ41" s="3"/>
      <c r="BR41" s="4"/>
      <c r="BS41" s="79"/>
      <c r="BT41" s="3"/>
    </row>
    <row r="42" spans="1:72" ht="12.75" x14ac:dyDescent="0.2">
      <c r="A42" s="16"/>
      <c r="B42" s="73"/>
      <c r="C42" s="16"/>
      <c r="D42" s="16"/>
      <c r="J42" s="16"/>
      <c r="L42" s="3"/>
      <c r="M42" s="3"/>
      <c r="O42" s="74"/>
      <c r="T42" s="3"/>
      <c r="AX42" s="171">
        <v>1607607465</v>
      </c>
      <c r="BC42" s="76"/>
      <c r="BH42" s="74"/>
      <c r="BM42" s="3"/>
      <c r="BN42" s="3"/>
      <c r="BO42" s="3"/>
      <c r="BP42" s="3"/>
      <c r="BQ42" s="3"/>
      <c r="BR42" s="4"/>
      <c r="BS42" s="79"/>
      <c r="BT42" s="3"/>
    </row>
    <row r="43" spans="1:72" ht="12.75" x14ac:dyDescent="0.2">
      <c r="A43" s="16"/>
      <c r="B43" s="73"/>
      <c r="C43" s="16"/>
      <c r="D43" s="16"/>
      <c r="J43" s="16"/>
      <c r="L43" s="3"/>
      <c r="M43" s="3"/>
      <c r="O43" s="74"/>
      <c r="T43" s="3"/>
      <c r="AX43" s="171">
        <f>AX42+AX41</f>
        <v>4491993491</v>
      </c>
      <c r="BC43" s="76"/>
      <c r="BH43" s="74"/>
      <c r="BM43" s="3"/>
      <c r="BN43" s="3"/>
      <c r="BO43" s="3"/>
      <c r="BP43" s="3"/>
      <c r="BQ43" s="3"/>
      <c r="BR43" s="4"/>
      <c r="BS43" s="79"/>
      <c r="BT43" s="3"/>
    </row>
    <row r="44" spans="1:72" ht="12.75" x14ac:dyDescent="0.2">
      <c r="A44" s="16"/>
      <c r="B44" s="73"/>
      <c r="C44" s="16"/>
      <c r="D44" s="16"/>
      <c r="J44" s="16"/>
      <c r="L44" s="3"/>
      <c r="M44" s="3"/>
      <c r="O44" s="74"/>
      <c r="T44" s="3"/>
      <c r="AX44" s="16"/>
      <c r="BC44" s="76"/>
      <c r="BH44" s="74"/>
      <c r="BM44" s="3"/>
      <c r="BN44" s="3"/>
      <c r="BO44" s="3"/>
      <c r="BP44" s="3"/>
      <c r="BQ44" s="3"/>
      <c r="BR44" s="4"/>
      <c r="BS44" s="79"/>
      <c r="BT44" s="3"/>
    </row>
    <row r="45" spans="1:72" ht="15" x14ac:dyDescent="0.2">
      <c r="A45" s="16"/>
      <c r="B45" s="73"/>
      <c r="C45" s="16"/>
      <c r="D45" s="16"/>
      <c r="J45" s="16"/>
      <c r="L45" s="3"/>
      <c r="M45" s="3"/>
      <c r="O45" s="74"/>
      <c r="T45" s="3"/>
      <c r="AX45" s="16"/>
      <c r="BC45" s="76"/>
      <c r="BH45" s="172">
        <v>1200000</v>
      </c>
      <c r="BM45" s="3"/>
      <c r="BN45" s="3"/>
      <c r="BO45" s="3"/>
      <c r="BP45" s="3"/>
      <c r="BQ45" s="3"/>
      <c r="BR45" s="4"/>
      <c r="BS45" s="79"/>
      <c r="BT45" s="3"/>
    </row>
    <row r="46" spans="1:72" ht="15" x14ac:dyDescent="0.2">
      <c r="A46" s="16"/>
      <c r="B46" s="73"/>
      <c r="C46" s="16"/>
      <c r="D46" s="16"/>
      <c r="J46" s="16"/>
      <c r="L46" s="3"/>
      <c r="M46" s="3"/>
      <c r="O46" s="74"/>
      <c r="T46" s="3"/>
      <c r="AX46" s="16"/>
      <c r="BC46" s="76"/>
      <c r="BH46" s="172">
        <v>500000</v>
      </c>
      <c r="BM46" s="3"/>
      <c r="BN46" s="3"/>
      <c r="BO46" s="3"/>
      <c r="BP46" s="3"/>
      <c r="BQ46" s="3"/>
      <c r="BR46" s="4"/>
      <c r="BS46" s="79"/>
      <c r="BT46" s="3"/>
    </row>
    <row r="47" spans="1:72" ht="15" x14ac:dyDescent="0.2">
      <c r="A47" s="16"/>
      <c r="B47" s="73"/>
      <c r="C47" s="16"/>
      <c r="D47" s="16"/>
      <c r="J47" s="16"/>
      <c r="L47" s="3"/>
      <c r="M47" s="3"/>
      <c r="O47" s="74"/>
      <c r="T47" s="3"/>
      <c r="AX47" s="16"/>
      <c r="BC47" s="76"/>
      <c r="BH47" s="172">
        <v>1000000</v>
      </c>
      <c r="BM47" s="3"/>
      <c r="BN47" s="3"/>
      <c r="BO47" s="3"/>
      <c r="BP47" s="3"/>
      <c r="BQ47" s="3"/>
      <c r="BR47" s="4"/>
      <c r="BS47" s="79"/>
      <c r="BT47" s="3"/>
    </row>
    <row r="48" spans="1:72" ht="15" x14ac:dyDescent="0.2">
      <c r="A48" s="16"/>
      <c r="B48" s="73"/>
      <c r="C48" s="16"/>
      <c r="D48" s="16"/>
      <c r="J48" s="16"/>
      <c r="L48" s="3"/>
      <c r="M48" s="3"/>
      <c r="O48" s="74"/>
      <c r="T48" s="3"/>
      <c r="AX48" s="16"/>
      <c r="BC48" s="76"/>
      <c r="BH48" s="172">
        <v>500000</v>
      </c>
      <c r="BM48" s="3"/>
      <c r="BN48" s="3"/>
      <c r="BO48" s="3"/>
      <c r="BP48" s="3"/>
      <c r="BQ48" s="3"/>
      <c r="BR48" s="4"/>
      <c r="BS48" s="79"/>
      <c r="BT48" s="3"/>
    </row>
    <row r="49" spans="1:72" ht="15" x14ac:dyDescent="0.2">
      <c r="A49" s="16"/>
      <c r="B49" s="73"/>
      <c r="C49" s="16"/>
      <c r="D49" s="16"/>
      <c r="J49" s="16"/>
      <c r="L49" s="3"/>
      <c r="M49" s="3"/>
      <c r="O49" s="74"/>
      <c r="T49" s="3"/>
      <c r="AX49" s="16"/>
      <c r="BC49" s="76"/>
      <c r="BH49" s="172">
        <v>1200000</v>
      </c>
      <c r="BM49" s="3"/>
      <c r="BN49" s="3"/>
      <c r="BO49" s="3"/>
      <c r="BP49" s="3"/>
      <c r="BQ49" s="3"/>
      <c r="BR49" s="4"/>
      <c r="BS49" s="79"/>
      <c r="BT49" s="3"/>
    </row>
    <row r="50" spans="1:72" ht="15" x14ac:dyDescent="0.2">
      <c r="A50" s="16"/>
      <c r="B50" s="73"/>
      <c r="C50" s="16"/>
      <c r="D50" s="16"/>
      <c r="J50" s="16"/>
      <c r="L50" s="3"/>
      <c r="M50" s="3"/>
      <c r="O50" s="74"/>
      <c r="T50" s="3"/>
      <c r="AX50" s="16"/>
      <c r="BC50" s="76"/>
      <c r="BH50" s="172">
        <v>500000</v>
      </c>
      <c r="BM50" s="3"/>
      <c r="BN50" s="3"/>
      <c r="BO50" s="3"/>
      <c r="BP50" s="3"/>
      <c r="BQ50" s="3"/>
      <c r="BR50" s="4"/>
      <c r="BS50" s="79"/>
      <c r="BT50" s="3"/>
    </row>
    <row r="51" spans="1:72" ht="15" x14ac:dyDescent="0.2">
      <c r="A51" s="16"/>
      <c r="B51" s="73"/>
      <c r="C51" s="16"/>
      <c r="D51" s="16"/>
      <c r="J51" s="16"/>
      <c r="L51" s="3"/>
      <c r="M51" s="3"/>
      <c r="O51" s="74"/>
      <c r="T51" s="3"/>
      <c r="AX51" s="16"/>
      <c r="BC51" s="76"/>
      <c r="BH51" s="172">
        <v>1000000</v>
      </c>
      <c r="BJ51" s="144">
        <v>410816070</v>
      </c>
      <c r="BK51" s="75">
        <v>14846250</v>
      </c>
      <c r="BL51" s="136">
        <v>500000</v>
      </c>
      <c r="BM51" s="3"/>
      <c r="BN51" s="3"/>
      <c r="BO51" s="3"/>
      <c r="BP51" s="3"/>
      <c r="BQ51" s="3"/>
      <c r="BR51" s="4"/>
      <c r="BS51" s="79"/>
      <c r="BT51" s="3"/>
    </row>
    <row r="52" spans="1:72" ht="15" x14ac:dyDescent="0.2">
      <c r="A52" s="16"/>
      <c r="B52" s="73"/>
      <c r="C52" s="16"/>
      <c r="D52" s="16"/>
      <c r="J52" s="16"/>
      <c r="L52" s="3"/>
      <c r="M52" s="3"/>
      <c r="O52" s="74"/>
      <c r="T52" s="3"/>
      <c r="AX52" s="16"/>
      <c r="BC52" s="76"/>
      <c r="BH52" s="172">
        <v>400000</v>
      </c>
      <c r="BJ52" s="136">
        <v>500000</v>
      </c>
      <c r="BK52" s="136">
        <v>500000</v>
      </c>
      <c r="BL52" s="136">
        <v>400000</v>
      </c>
      <c r="BM52" s="3"/>
      <c r="BN52" s="3"/>
      <c r="BO52" s="3"/>
      <c r="BP52" s="3"/>
      <c r="BQ52" s="3"/>
      <c r="BR52" s="4"/>
      <c r="BS52" s="79"/>
      <c r="BT52" s="3"/>
    </row>
    <row r="53" spans="1:72" ht="15" x14ac:dyDescent="0.2">
      <c r="A53" s="16"/>
      <c r="B53" s="73"/>
      <c r="C53" s="16"/>
      <c r="D53" s="16"/>
      <c r="J53" s="16"/>
      <c r="L53" s="3"/>
      <c r="M53" s="3"/>
      <c r="O53" s="74"/>
      <c r="T53" s="3"/>
      <c r="AX53" s="16"/>
      <c r="BC53" s="76"/>
      <c r="BH53" s="172">
        <v>400000</v>
      </c>
      <c r="BJ53" s="136">
        <v>1200000</v>
      </c>
      <c r="BK53" s="136">
        <v>800000</v>
      </c>
      <c r="BL53" s="136">
        <v>500000</v>
      </c>
      <c r="BM53" s="3"/>
      <c r="BN53" s="3"/>
      <c r="BO53" s="3"/>
      <c r="BP53" s="3"/>
      <c r="BQ53" s="3"/>
      <c r="BR53" s="4"/>
      <c r="BS53" s="79"/>
      <c r="BT53" s="3"/>
    </row>
    <row r="54" spans="1:72" ht="15" x14ac:dyDescent="0.2">
      <c r="A54" s="16"/>
      <c r="B54" s="73"/>
      <c r="C54" s="16"/>
      <c r="D54" s="16"/>
      <c r="J54" s="16"/>
      <c r="L54" s="3"/>
      <c r="M54" s="3"/>
      <c r="O54" s="74"/>
      <c r="T54" s="3"/>
      <c r="AX54" s="16"/>
      <c r="BC54" s="76"/>
      <c r="BH54" s="172">
        <v>39282900</v>
      </c>
      <c r="BJ54" s="136">
        <v>39282900</v>
      </c>
      <c r="BK54" s="136">
        <v>750000</v>
      </c>
      <c r="BL54" s="136">
        <v>400000</v>
      </c>
      <c r="BM54" s="3"/>
      <c r="BN54" s="3"/>
      <c r="BO54" s="3"/>
      <c r="BP54" s="3"/>
      <c r="BQ54" s="3"/>
      <c r="BR54" s="4"/>
      <c r="BS54" s="79"/>
      <c r="BT54" s="3"/>
    </row>
    <row r="55" spans="1:72" ht="12.75" x14ac:dyDescent="0.2">
      <c r="A55" s="16"/>
      <c r="B55" s="73"/>
      <c r="C55" s="16"/>
      <c r="D55" s="16"/>
      <c r="J55" s="16"/>
      <c r="L55" s="3"/>
      <c r="M55" s="3"/>
      <c r="O55" s="74"/>
      <c r="T55" s="3"/>
      <c r="AX55" s="16"/>
      <c r="BC55" s="76"/>
      <c r="BH55" s="125">
        <v>14846250</v>
      </c>
      <c r="BJ55" s="136">
        <v>1000000</v>
      </c>
      <c r="BL55" s="136">
        <v>1200000</v>
      </c>
      <c r="BM55" s="3"/>
      <c r="BN55" s="3"/>
      <c r="BO55" s="3"/>
      <c r="BP55" s="3"/>
      <c r="BQ55" s="3"/>
      <c r="BR55" s="4"/>
      <c r="BS55" s="79"/>
      <c r="BT55" s="3"/>
    </row>
    <row r="56" spans="1:72" ht="15" x14ac:dyDescent="0.2">
      <c r="A56" s="16"/>
      <c r="B56" s="73"/>
      <c r="C56" s="16"/>
      <c r="D56" s="16"/>
      <c r="J56" s="16"/>
      <c r="L56" s="3"/>
      <c r="M56" s="3"/>
      <c r="O56" s="74"/>
      <c r="T56" s="3"/>
      <c r="AX56" s="16"/>
      <c r="BC56" s="76"/>
      <c r="BH56" s="172">
        <v>410816070</v>
      </c>
      <c r="BL56" s="136">
        <v>1200000</v>
      </c>
      <c r="BM56" s="3"/>
      <c r="BN56" s="3"/>
      <c r="BO56" s="3"/>
      <c r="BP56" s="3"/>
      <c r="BQ56" s="3"/>
      <c r="BR56" s="4"/>
      <c r="BS56" s="79"/>
      <c r="BT56" s="3"/>
    </row>
    <row r="57" spans="1:72" ht="12.75" x14ac:dyDescent="0.2">
      <c r="A57" s="16"/>
      <c r="B57" s="73"/>
      <c r="C57" s="16"/>
      <c r="D57" s="16"/>
      <c r="J57" s="16"/>
      <c r="L57" s="3"/>
      <c r="M57" s="3"/>
      <c r="O57" s="74"/>
      <c r="T57" s="3"/>
      <c r="AX57" s="16"/>
      <c r="BC57" s="76"/>
      <c r="BH57" s="74">
        <f>SUM(BH45:BH56)</f>
        <v>471645220</v>
      </c>
      <c r="BL57" s="136">
        <v>500000</v>
      </c>
      <c r="BM57" s="3"/>
      <c r="BN57" s="3"/>
      <c r="BO57" s="3"/>
      <c r="BP57" s="3"/>
      <c r="BQ57" s="3"/>
      <c r="BR57" s="4"/>
      <c r="BS57" s="79"/>
      <c r="BT57" s="3"/>
    </row>
    <row r="58" spans="1:72" ht="12.75" x14ac:dyDescent="0.2">
      <c r="A58" s="16"/>
      <c r="B58" s="73"/>
      <c r="C58" s="16"/>
      <c r="D58" s="16"/>
      <c r="J58" s="16"/>
      <c r="L58" s="3"/>
      <c r="M58" s="3"/>
      <c r="O58" s="74"/>
      <c r="T58" s="3"/>
      <c r="AX58" s="16"/>
      <c r="BC58" s="76"/>
      <c r="BH58" s="74"/>
      <c r="BL58" s="136">
        <v>450000</v>
      </c>
      <c r="BM58" s="3"/>
      <c r="BN58" s="3"/>
      <c r="BO58" s="3"/>
      <c r="BP58" s="3"/>
      <c r="BQ58" s="3"/>
      <c r="BR58" s="4"/>
      <c r="BS58" s="79"/>
      <c r="BT58" s="3"/>
    </row>
    <row r="59" spans="1:72" ht="12.75" x14ac:dyDescent="0.2">
      <c r="A59" s="16"/>
      <c r="B59" s="73"/>
      <c r="C59" s="16"/>
      <c r="D59" s="16"/>
      <c r="J59" s="16"/>
      <c r="L59" s="3"/>
      <c r="M59" s="3"/>
      <c r="O59" s="74"/>
      <c r="T59" s="3"/>
      <c r="AX59" s="16"/>
      <c r="BC59" s="76"/>
      <c r="BH59" s="74"/>
      <c r="BL59" s="136">
        <v>1000000</v>
      </c>
      <c r="BM59" s="3"/>
      <c r="BN59" s="3"/>
      <c r="BO59" s="3"/>
      <c r="BP59" s="3"/>
      <c r="BQ59" s="3"/>
      <c r="BR59" s="4"/>
      <c r="BS59" s="79"/>
      <c r="BT59" s="3"/>
    </row>
    <row r="60" spans="1:72" ht="12.75" x14ac:dyDescent="0.2">
      <c r="A60" s="16"/>
      <c r="B60" s="73"/>
      <c r="C60" s="16"/>
      <c r="D60" s="16"/>
      <c r="J60" s="16"/>
      <c r="L60" s="3"/>
      <c r="M60" s="3"/>
      <c r="O60" s="74"/>
      <c r="T60" s="3"/>
      <c r="AX60" s="16"/>
      <c r="BC60" s="76"/>
      <c r="BH60" s="74"/>
      <c r="BJ60" s="144">
        <f t="shared" ref="BJ60:BL60" si="44">SUM(BJ51:BJ59)</f>
        <v>452798970</v>
      </c>
      <c r="BK60" s="75">
        <f t="shared" si="44"/>
        <v>16896250</v>
      </c>
      <c r="BL60" s="136">
        <f t="shared" si="44"/>
        <v>6150000</v>
      </c>
      <c r="BM60" s="74">
        <f>BJ60+BK60+BL60</f>
        <v>475845220</v>
      </c>
      <c r="BN60" s="3"/>
      <c r="BO60" s="3"/>
      <c r="BP60" s="3"/>
      <c r="BQ60" s="3"/>
      <c r="BR60" s="4"/>
      <c r="BS60" s="79"/>
      <c r="BT60" s="3"/>
    </row>
  </sheetData>
  <mergeCells count="32">
    <mergeCell ref="BS3:BS6"/>
    <mergeCell ref="BT3:BT6"/>
    <mergeCell ref="BS8:BS9"/>
    <mergeCell ref="BT8:BT9"/>
    <mergeCell ref="BR14:BR15"/>
    <mergeCell ref="BS14:BS15"/>
    <mergeCell ref="BT14:BT15"/>
    <mergeCell ref="AS5:AW5"/>
    <mergeCell ref="AX5:BB5"/>
    <mergeCell ref="BC5:BG5"/>
    <mergeCell ref="BH5:BL5"/>
    <mergeCell ref="BR8:BR9"/>
    <mergeCell ref="BM3:BQ5"/>
    <mergeCell ref="BR3:BR6"/>
    <mergeCell ref="T5:X5"/>
    <mergeCell ref="Y5:AC5"/>
    <mergeCell ref="AD5:AH5"/>
    <mergeCell ref="AI5:AM5"/>
    <mergeCell ref="AN5:AR5"/>
    <mergeCell ref="A14:A15"/>
    <mergeCell ref="B14:B15"/>
    <mergeCell ref="E5:I5"/>
    <mergeCell ref="J5:N5"/>
    <mergeCell ref="O5:S5"/>
    <mergeCell ref="A3:A6"/>
    <mergeCell ref="B3:B6"/>
    <mergeCell ref="E3:BL4"/>
    <mergeCell ref="C3:D4"/>
    <mergeCell ref="C5:C6"/>
    <mergeCell ref="D5:D6"/>
    <mergeCell ref="A8:A9"/>
    <mergeCell ref="B8:B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Lembar kerja</vt:lpstr>
      </vt:variant>
      <vt:variant>
        <vt:i4>2</vt:i4>
      </vt:variant>
      <vt:variant>
        <vt:lpstr>Rentang Bernama</vt:lpstr>
      </vt:variant>
      <vt:variant>
        <vt:i4>1</vt:i4>
      </vt:variant>
    </vt:vector>
  </HeadingPairs>
  <TitlesOfParts>
    <vt:vector size="3" baseType="lpstr">
      <vt:lpstr>PROGRESS FISIK</vt:lpstr>
      <vt:lpstr>E-MONEV</vt:lpstr>
      <vt:lpstr>'PROGRESS FISIK'!Print_Area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S8PTCJ011818359@outlook.com</cp:lastModifiedBy>
  <dcterms:modified xsi:type="dcterms:W3CDTF">2025-02-20T03:57:24Z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1207885</vt:lpwstr>
  </property>
  <property fmtid="{D5CDD505-2E9C-101B-9397-08002B2CF9AE}" name="NXPowerLiteSettings" pid="3">
    <vt:lpwstr>C7000400038000</vt:lpwstr>
  </property>
  <property fmtid="{D5CDD505-2E9C-101B-9397-08002B2CF9AE}" name="NXPowerLiteVersion" pid="4">
    <vt:lpwstr>S10.3.1</vt:lpwstr>
  </property>
</Properties>
</file>